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firstSheet="1" activeTab="5"/>
  </bookViews>
  <sheets>
    <sheet name="Arkusz1" sheetId="1" r:id="rId1"/>
    <sheet name="Mostek" sheetId="2" r:id="rId2"/>
    <sheet name="Boisko" sheetId="3" r:id="rId3"/>
    <sheet name="Arkusz2" sheetId="4" r:id="rId4"/>
    <sheet name="Kanalizacja" sheetId="5" r:id="rId5"/>
    <sheet name="WPI" sheetId="6" r:id="rId6"/>
    <sheet name="załącznik UE" sheetId="7" r:id="rId7"/>
  </sheets>
  <definedNames>
    <definedName name="_xlnm.Print_Area" localSheetId="5">'WPI'!$A$1:$N$59</definedName>
    <definedName name="_xlnm.Print_Area" localSheetId="6">'załącznik UE'!$A$1:$I$21</definedName>
  </definedNames>
  <calcPr fullCalcOnLoad="1"/>
</workbook>
</file>

<file path=xl/sharedStrings.xml><?xml version="1.0" encoding="utf-8"?>
<sst xmlns="http://schemas.openxmlformats.org/spreadsheetml/2006/main" count="426" uniqueCount="137">
  <si>
    <t>NAKŁADY INWESTYCYJNE</t>
  </si>
  <si>
    <t>NAKŁADY</t>
  </si>
  <si>
    <t>Ilość</t>
  </si>
  <si>
    <t>RAZEM</t>
  </si>
  <si>
    <t>Koszty niekwalifikow.</t>
  </si>
  <si>
    <t>Koszty kwalifikow.</t>
  </si>
  <si>
    <t>Środki Gminy</t>
  </si>
  <si>
    <t>Dokumentacja budowlana</t>
  </si>
  <si>
    <t>PRACE PRZYGOTOWAWCZE</t>
  </si>
  <si>
    <t>KOSZTY INWESTYCJI</t>
  </si>
  <si>
    <t>ROBOTY TOWARZYSZĄCE</t>
  </si>
  <si>
    <t>Udział % w kosztach kwalifikow.</t>
  </si>
  <si>
    <t>Udział % w kosztach całkowitych</t>
  </si>
  <si>
    <t xml:space="preserve"> </t>
  </si>
  <si>
    <t>Dział</t>
  </si>
  <si>
    <t>Nazwa</t>
  </si>
  <si>
    <t>Cel</t>
  </si>
  <si>
    <t>Zadanie</t>
  </si>
  <si>
    <t>Termin rozpoczęcia programu</t>
  </si>
  <si>
    <t>Wysokość wydatków</t>
  </si>
  <si>
    <t>Rozdział</t>
  </si>
  <si>
    <t>Termin zakończenia programu</t>
  </si>
  <si>
    <t>2005 rok</t>
  </si>
  <si>
    <t>2006 rok</t>
  </si>
  <si>
    <t>Lp</t>
  </si>
  <si>
    <t>Nazwa Programu lub projektu realizowanego ze środków pochodzących z funduszy strukturalnych i Funduszu Spójności</t>
  </si>
  <si>
    <t>Zadanie realizowane w ramach programu lub projektu</t>
  </si>
  <si>
    <t>Źródła finansowania zadania objętego programem lub projektem</t>
  </si>
  <si>
    <t>Źródła finansowania krajowego wkładu publicznego</t>
  </si>
  <si>
    <t>Środki Strukturalne</t>
  </si>
  <si>
    <t>Wkład Krajowy Publiczny</t>
  </si>
  <si>
    <t>Budżet Gminy</t>
  </si>
  <si>
    <t>Pozostałe</t>
  </si>
  <si>
    <t>Zintegrowany Program Operacyjny Rozwoju Regionalnego</t>
  </si>
  <si>
    <t>j.m.</t>
  </si>
  <si>
    <t>komplet</t>
  </si>
  <si>
    <t>Remont mostku nad rzeką Brzezianek w miejscowości Kasparus</t>
  </si>
  <si>
    <t>Przygotowanie przetargu</t>
  </si>
  <si>
    <t>nadzór</t>
  </si>
  <si>
    <t>rozliczenie inwestycji</t>
  </si>
  <si>
    <t>geodezja</t>
  </si>
  <si>
    <t>Środki SPO</t>
  </si>
  <si>
    <t>kpl</t>
  </si>
  <si>
    <t>Mapy do celów projektowych</t>
  </si>
  <si>
    <t>Dokumentacja techniczna</t>
  </si>
  <si>
    <t>Płyta boiska</t>
  </si>
  <si>
    <t>Wyposażenie boiska</t>
  </si>
  <si>
    <t xml:space="preserve">Odwodnienie </t>
  </si>
  <si>
    <t xml:space="preserve">Średnica </t>
  </si>
  <si>
    <r>
      <rPr>
        <sz val="12"/>
        <rFont val="SwitzerlandCondensed"/>
        <family val="0"/>
      </rPr>
      <t>Koszty niekwalifikow.</t>
    </r>
  </si>
  <si>
    <r>
      <rPr>
        <sz val="12"/>
        <rFont val="SwitzerlandCondensed"/>
        <family val="0"/>
      </rPr>
      <t>Koszty kwalifikow.</t>
    </r>
  </si>
  <si>
    <r>
      <rPr>
        <sz val="12"/>
        <rFont val="SwitzerlandCondensed"/>
        <family val="0"/>
      </rPr>
      <t>Środki EFRR</t>
    </r>
  </si>
  <si>
    <t>----</t>
  </si>
  <si>
    <t>-----</t>
  </si>
  <si>
    <t>Nadzór inwestorski</t>
  </si>
  <si>
    <t>Powiernictwo inwestycyjne</t>
  </si>
  <si>
    <t>Inne</t>
  </si>
  <si>
    <t>Środki MPiG</t>
  </si>
  <si>
    <t>Przygotowanie materiałów przet</t>
  </si>
  <si>
    <t>137 sztuk</t>
  </si>
  <si>
    <t>Kanał grawitacyjny PCV</t>
  </si>
  <si>
    <t>przykanaliki PCV</t>
  </si>
  <si>
    <t>przyłacza PCV</t>
  </si>
  <si>
    <t>Przepompownie</t>
  </si>
  <si>
    <t>Rurociąg tłoczny PCV</t>
  </si>
  <si>
    <t>Pompowanie wody</t>
  </si>
  <si>
    <t>Geodezja</t>
  </si>
  <si>
    <t>Wodociąg PCV</t>
  </si>
  <si>
    <t>Przyłącza</t>
  </si>
  <si>
    <t>Studium Wykonalności</t>
  </si>
  <si>
    <t>Budowa boiska gminnego w Osieku</t>
  </si>
  <si>
    <t>LIMIT WYDATKÓW NA WIELOLETNIE PROGRAMY INWESTYCYJNE FINANSOWANE Z BUDŻETU GMINY OSIEK</t>
  </si>
  <si>
    <t>2005 r.</t>
  </si>
  <si>
    <t>2006 r.</t>
  </si>
  <si>
    <t>Budowa wodociągu i kanalizacji sanitarnej w Osieku</t>
  </si>
  <si>
    <t>Uprządkowanie stanu gospodarki wodno - ściekowej w Osieku</t>
  </si>
  <si>
    <t xml:space="preserve">                            Jednostka organizacyjna realizująca program - Wójt Gminy Osiek</t>
  </si>
  <si>
    <t xml:space="preserve"> Wzrost aktywności sportowej dzieci, młodzieży i dorosłych                                                     </t>
  </si>
  <si>
    <t>Poprawa stanu bezpieczeństwa</t>
  </si>
  <si>
    <t>Łączne wydatki finansowe na program w okresie jego realizacji</t>
  </si>
  <si>
    <t>Wysokość wydatków  - w złotych PLN</t>
  </si>
  <si>
    <t>01010</t>
  </si>
  <si>
    <t>010</t>
  </si>
  <si>
    <t>Wydatki na programy i projekty realizowane ze środków pochodzących                                                                                                                     z Funduszy Strukturalnych i Funduszu Spójności</t>
  </si>
  <si>
    <t>Budżet Państwa</t>
  </si>
  <si>
    <t>Łączne wydatki finansowe na realizację zadania objętego programem lub projektem</t>
  </si>
  <si>
    <t>Sektorowy Program Operacyjny</t>
  </si>
  <si>
    <t>Wysokość wydatków - w zł PLN</t>
  </si>
  <si>
    <t>Drenaż</t>
  </si>
  <si>
    <t>Równanie płyty boiska</t>
  </si>
  <si>
    <t>Przygotow. i niewelacja działki</t>
  </si>
  <si>
    <t>Przygotowanie wniosku</t>
  </si>
  <si>
    <t>Nadzór</t>
  </si>
  <si>
    <t>Rozliczenie inwestycji</t>
  </si>
  <si>
    <t>Środki UE</t>
  </si>
  <si>
    <t>Środki MGiP</t>
  </si>
  <si>
    <t>Brutto</t>
  </si>
  <si>
    <t>Podatek</t>
  </si>
  <si>
    <t>wartość netto</t>
  </si>
  <si>
    <t>NAKŁADY INWESTYCYJNE 2005</t>
  </si>
  <si>
    <t>NAKŁADY INWESTYCYJNE  2006</t>
  </si>
  <si>
    <t>ps1</t>
  </si>
  <si>
    <t>P</t>
  </si>
  <si>
    <t>X</t>
  </si>
  <si>
    <t>x</t>
  </si>
  <si>
    <t>p</t>
  </si>
  <si>
    <t xml:space="preserve">Gmina </t>
  </si>
  <si>
    <t>Dotychczasowe wydatki poniesione na finansowanie programu do 2005 roku</t>
  </si>
  <si>
    <r>
      <t xml:space="preserve">W roku budżetowym </t>
    </r>
    <r>
      <rPr>
        <b/>
        <sz val="8"/>
        <rFont val="Arial CE"/>
        <family val="2"/>
      </rPr>
      <t>2007</t>
    </r>
    <r>
      <rPr>
        <sz val="8"/>
        <rFont val="Arial CE"/>
        <family val="2"/>
      </rPr>
      <t xml:space="preserve">                             a) środki własne                b) pożyczka                c) śr. U.E.                     d) budżet państwa                </t>
    </r>
  </si>
  <si>
    <r>
      <t xml:space="preserve">W roku budżetowym </t>
    </r>
    <r>
      <rPr>
        <b/>
        <sz val="8"/>
        <rFont val="Arial CE"/>
        <family val="2"/>
      </rPr>
      <t>2008</t>
    </r>
    <r>
      <rPr>
        <sz val="8"/>
        <rFont val="Arial CE"/>
        <family val="2"/>
      </rPr>
      <t xml:space="preserve">                            a) środki własne                b) pożyczka                c) śr. U.E.                     d) budżet państwa</t>
    </r>
  </si>
  <si>
    <t>adams</t>
  </si>
  <si>
    <t>łopato</t>
  </si>
  <si>
    <t>inne</t>
  </si>
  <si>
    <t>Gmina</t>
  </si>
  <si>
    <t>ZPORR</t>
  </si>
  <si>
    <t>BP</t>
  </si>
  <si>
    <t>firma kanaliza</t>
  </si>
  <si>
    <t>firma woda</t>
  </si>
  <si>
    <t>woda</t>
  </si>
  <si>
    <t>kwalifikowane</t>
  </si>
  <si>
    <t>niekwalifikowane</t>
  </si>
  <si>
    <t>kanaliza</t>
  </si>
  <si>
    <t>WFOŚ</t>
  </si>
  <si>
    <t>2007 r.</t>
  </si>
  <si>
    <t>01036</t>
  </si>
  <si>
    <r>
      <t xml:space="preserve">W roku budżetowym </t>
    </r>
    <r>
      <rPr>
        <b/>
        <sz val="8"/>
        <rFont val="Arial CE"/>
        <family val="2"/>
      </rPr>
      <t>2006</t>
    </r>
    <r>
      <rPr>
        <sz val="8"/>
        <rFont val="Arial CE"/>
        <family val="2"/>
      </rPr>
      <t xml:space="preserve">                            a) środki własne                b) pożyczka i dotacja               c) śr. U.E.                     d) budżet państwa</t>
    </r>
  </si>
  <si>
    <t>Budowa boiska w Kasparusie</t>
  </si>
  <si>
    <t xml:space="preserve"> Wzrost aktywności sportowej dzieci, młodzieży i dorosłych     </t>
  </si>
  <si>
    <t>2006r.</t>
  </si>
  <si>
    <t>926</t>
  </si>
  <si>
    <t>92601</t>
  </si>
  <si>
    <t>Załącznik nr 2</t>
  </si>
  <si>
    <t xml:space="preserve">Załącznik nr </t>
  </si>
  <si>
    <t xml:space="preserve">do Uchwały Rady Gminy Osiek Nr </t>
  </si>
  <si>
    <t xml:space="preserve">z dnia  </t>
  </si>
  <si>
    <t>z dnia 28.12.2006r.</t>
  </si>
  <si>
    <t xml:space="preserve">               do Uchwały Rady Gminy Osiek Nr IV/17/2006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</si>
</sst>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.0_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0.0000000000000000"/>
    <numFmt numFmtId="182" formatCode="0.00000000000000000"/>
    <numFmt numFmtId="183" formatCode="0.000000000000000000"/>
    <numFmt numFmtId="184" formatCode="0.0000000000000000000"/>
    <numFmt numFmtId="185" formatCode="0.00000000000000000000"/>
    <numFmt numFmtId="186" formatCode="0.000000000000000000000"/>
    <numFmt numFmtId="187" formatCode="0.0000000000000000000000"/>
    <numFmt numFmtId="188" formatCode="0.00000000000000000000000"/>
    <numFmt numFmtId="189" formatCode="0.000000000000000000000000"/>
    <numFmt numFmtId="190" formatCode="0.0000000000000000000000000"/>
    <numFmt numFmtId="191" formatCode="0.0"/>
    <numFmt numFmtId="192" formatCode="0.0%"/>
    <numFmt numFmtId="193" formatCode="0.000%"/>
    <numFmt numFmtId="194" formatCode="0.0000%"/>
    <numFmt numFmtId="195" formatCode="0_)"/>
    <numFmt numFmtId="196" formatCode="_-* #,##0.00_-;\-* #,##0.00_-;_-* \-??_-;_-@_-"/>
    <numFmt numFmtId="197" formatCode="#,##0.00_ ;\-#,##0.00\ "/>
    <numFmt numFmtId="198" formatCode="0.00000%"/>
    <numFmt numFmtId="199" formatCode="0.000000%"/>
  </numFmts>
  <fonts count="17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 MT"/>
      <family val="0"/>
    </font>
    <font>
      <sz val="13"/>
      <name val="SwitzerlandCondensed"/>
      <family val="0"/>
    </font>
    <font>
      <u val="single"/>
      <sz val="7.5"/>
      <color indexed="36"/>
      <name val="Arial MT"/>
      <family val="0"/>
    </font>
    <font>
      <sz val="12"/>
      <name val="SwitzerlandCondensed"/>
      <family val="0"/>
    </font>
    <font>
      <b/>
      <sz val="16"/>
      <name val="Comic Sans MS"/>
      <family val="4"/>
    </font>
    <font>
      <b/>
      <sz val="12"/>
      <name val="SwitzerlandCondensed"/>
      <family val="0"/>
    </font>
    <font>
      <sz val="10"/>
      <name val="SwitzerlandCondensed"/>
      <family val="0"/>
    </font>
    <font>
      <sz val="8"/>
      <name val="SwitzerlandCondensed"/>
      <family val="0"/>
    </font>
    <font>
      <b/>
      <sz val="12"/>
      <name val="Arial"/>
      <family val="2"/>
    </font>
    <font>
      <b/>
      <sz val="13"/>
      <name val="SwitzerlandCondensed"/>
      <family val="0"/>
    </font>
    <font>
      <sz val="8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167" fontId="5" fillId="0" borderId="0" xfId="19" applyFont="1">
      <alignment/>
      <protection/>
    </xf>
    <xf numFmtId="167" fontId="5" fillId="0" borderId="0" xfId="19" applyFont="1" applyAlignment="1">
      <alignment horizontal="center"/>
      <protection/>
    </xf>
    <xf numFmtId="166" fontId="5" fillId="0" borderId="0" xfId="19" applyNumberFormat="1" applyFont="1" applyAlignment="1">
      <alignment horizontal="center"/>
      <protection/>
    </xf>
    <xf numFmtId="167" fontId="3" fillId="0" borderId="0" xfId="19">
      <alignment/>
      <protection/>
    </xf>
    <xf numFmtId="167" fontId="7" fillId="0" borderId="1" xfId="19" applyFont="1" applyBorder="1" applyAlignment="1">
      <alignment horizontal="center" vertical="center" wrapText="1"/>
      <protection/>
    </xf>
    <xf numFmtId="167" fontId="5" fillId="0" borderId="1" xfId="19" applyFont="1" applyBorder="1" applyAlignment="1">
      <alignment horizontal="center" vertical="center" wrapText="1"/>
      <protection/>
    </xf>
    <xf numFmtId="166" fontId="5" fillId="0" borderId="1" xfId="19" applyNumberFormat="1" applyFont="1" applyBorder="1" applyAlignment="1">
      <alignment horizontal="center" vertical="center" wrapText="1"/>
      <protection/>
    </xf>
    <xf numFmtId="167" fontId="3" fillId="0" borderId="0" xfId="19" applyAlignment="1">
      <alignment horizontal="center" vertical="center" wrapText="1"/>
      <protection/>
    </xf>
    <xf numFmtId="167" fontId="5" fillId="2" borderId="1" xfId="19" applyFont="1" applyFill="1" applyBorder="1" applyAlignment="1">
      <alignment horizontal="center"/>
      <protection/>
    </xf>
    <xf numFmtId="167" fontId="3" fillId="0" borderId="0" xfId="19" applyAlignment="1">
      <alignment horizontal="center"/>
      <protection/>
    </xf>
    <xf numFmtId="167" fontId="5" fillId="0" borderId="1" xfId="19" applyFont="1" applyBorder="1">
      <alignment/>
      <protection/>
    </xf>
    <xf numFmtId="167" fontId="3" fillId="0" borderId="0" xfId="19" applyFont="1">
      <alignment/>
      <protection/>
    </xf>
    <xf numFmtId="167" fontId="5" fillId="0" borderId="1" xfId="19" applyFont="1" applyBorder="1" applyAlignment="1">
      <alignment horizontal="center"/>
      <protection/>
    </xf>
    <xf numFmtId="166" fontId="3" fillId="0" borderId="0" xfId="19" applyNumberFormat="1" applyAlignment="1">
      <alignment horizontal="center"/>
      <protection/>
    </xf>
    <xf numFmtId="165" fontId="5" fillId="0" borderId="0" xfId="17" applyFont="1" applyAlignment="1">
      <alignment/>
    </xf>
    <xf numFmtId="165" fontId="7" fillId="0" borderId="0" xfId="17" applyFont="1" applyAlignment="1">
      <alignment/>
    </xf>
    <xf numFmtId="165" fontId="5" fillId="0" borderId="1" xfId="17" applyFont="1" applyBorder="1" applyAlignment="1">
      <alignment horizontal="center" vertical="center" wrapText="1"/>
    </xf>
    <xf numFmtId="165" fontId="5" fillId="0" borderId="1" xfId="17" applyFont="1" applyBorder="1" applyAlignment="1">
      <alignment/>
    </xf>
    <xf numFmtId="167" fontId="5" fillId="0" borderId="1" xfId="19" applyFont="1" applyFill="1" applyBorder="1">
      <alignment/>
      <protection/>
    </xf>
    <xf numFmtId="167" fontId="5" fillId="2" borderId="1" xfId="19" applyFont="1" applyFill="1" applyBorder="1">
      <alignment/>
      <protection/>
    </xf>
    <xf numFmtId="166" fontId="5" fillId="2" borderId="1" xfId="19" applyNumberFormat="1" applyFont="1" applyFill="1" applyBorder="1" applyAlignment="1">
      <alignment horizontal="center"/>
      <protection/>
    </xf>
    <xf numFmtId="165" fontId="5" fillId="2" borderId="1" xfId="17" applyFont="1" applyFill="1" applyBorder="1" applyAlignment="1">
      <alignment/>
    </xf>
    <xf numFmtId="167" fontId="7" fillId="2" borderId="1" xfId="19" applyFont="1" applyFill="1" applyBorder="1" applyAlignment="1">
      <alignment horizontal="center"/>
      <protection/>
    </xf>
    <xf numFmtId="166" fontId="7" fillId="2" borderId="1" xfId="19" applyNumberFormat="1" applyFont="1" applyFill="1" applyBorder="1" applyAlignment="1">
      <alignment horizontal="center"/>
      <protection/>
    </xf>
    <xf numFmtId="167" fontId="7" fillId="0" borderId="1" xfId="19" applyFont="1" applyBorder="1" applyAlignment="1">
      <alignment horizontal="center"/>
      <protection/>
    </xf>
    <xf numFmtId="165" fontId="7" fillId="2" borderId="1" xfId="17" applyFont="1" applyFill="1" applyBorder="1" applyAlignment="1">
      <alignment/>
    </xf>
    <xf numFmtId="167" fontId="5" fillId="0" borderId="2" xfId="19" applyFont="1" applyBorder="1" applyAlignment="1">
      <alignment horizontal="center"/>
      <protection/>
    </xf>
    <xf numFmtId="167" fontId="5" fillId="0" borderId="3" xfId="19" applyFont="1" applyBorder="1" applyAlignment="1">
      <alignment horizontal="center"/>
      <protection/>
    </xf>
    <xf numFmtId="165" fontId="0" fillId="3" borderId="1" xfId="17" applyFont="1" applyFill="1" applyBorder="1" applyAlignment="1">
      <alignment/>
    </xf>
    <xf numFmtId="165" fontId="5" fillId="3" borderId="1" xfId="17" applyFont="1" applyFill="1" applyBorder="1" applyAlignment="1">
      <alignment/>
    </xf>
    <xf numFmtId="9" fontId="8" fillId="0" borderId="1" xfId="21" applyFont="1" applyFill="1" applyBorder="1" applyAlignment="1">
      <alignment horizontal="center" vertical="center"/>
    </xf>
    <xf numFmtId="9" fontId="5" fillId="0" borderId="1" xfId="21" applyFont="1" applyFill="1" applyBorder="1" applyAlignment="1">
      <alignment horizontal="center" vertical="center"/>
    </xf>
    <xf numFmtId="9" fontId="5" fillId="0" borderId="1" xfId="21" applyFont="1" applyBorder="1" applyAlignment="1">
      <alignment horizontal="center" vertical="center"/>
    </xf>
    <xf numFmtId="165" fontId="3" fillId="0" borderId="0" xfId="17" applyAlignment="1">
      <alignment/>
    </xf>
    <xf numFmtId="165" fontId="3" fillId="0" borderId="0" xfId="17" applyFont="1" applyAlignment="1">
      <alignment/>
    </xf>
    <xf numFmtId="44" fontId="9" fillId="0" borderId="0" xfId="24" applyNumberFormat="1" applyFont="1" applyAlignment="1">
      <alignment/>
    </xf>
    <xf numFmtId="9" fontId="5" fillId="0" borderId="1" xfId="21" applyNumberFormat="1" applyFont="1" applyFill="1" applyBorder="1" applyAlignment="1">
      <alignment horizontal="center" vertical="center"/>
    </xf>
    <xf numFmtId="0" fontId="3" fillId="0" borderId="0" xfId="21" applyNumberFormat="1" applyFont="1" applyAlignment="1">
      <alignment horizontal="center"/>
    </xf>
    <xf numFmtId="167" fontId="7" fillId="0" borderId="1" xfId="19" applyFont="1" applyFill="1" applyBorder="1" applyAlignment="1">
      <alignment horizontal="center"/>
      <protection/>
    </xf>
    <xf numFmtId="165" fontId="5" fillId="0" borderId="1" xfId="17" applyFont="1" applyFill="1" applyBorder="1" applyAlignment="1">
      <alignment/>
    </xf>
    <xf numFmtId="9" fontId="3" fillId="0" borderId="0" xfId="21" applyFont="1" applyAlignment="1">
      <alignment horizontal="center"/>
    </xf>
    <xf numFmtId="9" fontId="3" fillId="0" borderId="0" xfId="2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 wrapText="1"/>
    </xf>
    <xf numFmtId="195" fontId="5" fillId="0" borderId="1" xfId="19" applyNumberFormat="1" applyFont="1" applyBorder="1" applyAlignment="1">
      <alignment horizontal="center"/>
      <protection/>
    </xf>
    <xf numFmtId="167" fontId="5" fillId="0" borderId="1" xfId="19" applyFont="1" applyBorder="1" applyAlignment="1">
      <alignment wrapText="1"/>
      <protection/>
    </xf>
    <xf numFmtId="195" fontId="7" fillId="0" borderId="1" xfId="19" applyNumberFormat="1" applyFont="1" applyFill="1" applyBorder="1" applyAlignment="1">
      <alignment horizontal="center"/>
      <protection/>
    </xf>
    <xf numFmtId="195" fontId="7" fillId="0" borderId="1" xfId="19" applyNumberFormat="1" applyFont="1" applyBorder="1" applyAlignment="1">
      <alignment horizontal="center"/>
      <protection/>
    </xf>
    <xf numFmtId="167" fontId="5" fillId="0" borderId="1" xfId="19" applyFont="1" applyFill="1" applyBorder="1" applyAlignment="1">
      <alignment horizontal="center"/>
      <protection/>
    </xf>
    <xf numFmtId="195" fontId="5" fillId="0" borderId="1" xfId="19" applyNumberFormat="1" applyFont="1" applyFill="1" applyBorder="1" applyAlignment="1">
      <alignment horizontal="center"/>
      <protection/>
    </xf>
    <xf numFmtId="167" fontId="7" fillId="0" borderId="5" xfId="19" applyFont="1" applyBorder="1" applyAlignment="1">
      <alignment horizontal="center" vertical="center" wrapText="1"/>
      <protection/>
    </xf>
    <xf numFmtId="167" fontId="5" fillId="0" borderId="5" xfId="19" applyFont="1" applyBorder="1" applyAlignment="1">
      <alignment horizontal="center" vertical="center" wrapText="1"/>
      <protection/>
    </xf>
    <xf numFmtId="166" fontId="5" fillId="0" borderId="5" xfId="19" applyNumberFormat="1" applyFont="1" applyBorder="1" applyAlignment="1">
      <alignment horizontal="center" vertical="center" wrapText="1"/>
      <protection/>
    </xf>
    <xf numFmtId="165" fontId="5" fillId="0" borderId="5" xfId="17" applyFont="1" applyFill="1" applyBorder="1" applyAlignment="1" applyProtection="1">
      <alignment horizontal="center" vertical="center" wrapText="1"/>
      <protection/>
    </xf>
    <xf numFmtId="4" fontId="5" fillId="0" borderId="5" xfId="17" applyNumberFormat="1" applyFont="1" applyFill="1" applyBorder="1" applyAlignment="1" applyProtection="1">
      <alignment horizontal="center" vertical="center" wrapText="1"/>
      <protection/>
    </xf>
    <xf numFmtId="167" fontId="5" fillId="0" borderId="5" xfId="19" applyFont="1" applyBorder="1">
      <alignment/>
      <protection/>
    </xf>
    <xf numFmtId="167" fontId="5" fillId="0" borderId="5" xfId="19" applyFont="1" applyBorder="1" applyAlignment="1">
      <alignment horizontal="center"/>
      <protection/>
    </xf>
    <xf numFmtId="166" fontId="5" fillId="0" borderId="5" xfId="19" applyNumberFormat="1" applyFont="1" applyBorder="1" applyAlignment="1">
      <alignment horizontal="center"/>
      <protection/>
    </xf>
    <xf numFmtId="165" fontId="5" fillId="0" borderId="5" xfId="17" applyFont="1" applyFill="1" applyBorder="1" applyAlignment="1" applyProtection="1">
      <alignment/>
      <protection/>
    </xf>
    <xf numFmtId="4" fontId="5" fillId="0" borderId="5" xfId="17" applyNumberFormat="1" applyFont="1" applyFill="1" applyBorder="1" applyAlignment="1" applyProtection="1">
      <alignment/>
      <protection/>
    </xf>
    <xf numFmtId="167" fontId="5" fillId="4" borderId="5" xfId="19" applyFont="1" applyFill="1" applyBorder="1">
      <alignment/>
      <protection/>
    </xf>
    <xf numFmtId="167" fontId="5" fillId="4" borderId="5" xfId="19" applyFont="1" applyFill="1" applyBorder="1" applyAlignment="1">
      <alignment horizontal="center"/>
      <protection/>
    </xf>
    <xf numFmtId="166" fontId="5" fillId="4" borderId="5" xfId="19" applyNumberFormat="1" applyFont="1" applyFill="1" applyBorder="1" applyAlignment="1">
      <alignment horizontal="center"/>
      <protection/>
    </xf>
    <xf numFmtId="165" fontId="5" fillId="4" borderId="5" xfId="17" applyFont="1" applyFill="1" applyBorder="1" applyAlignment="1" applyProtection="1">
      <alignment/>
      <protection/>
    </xf>
    <xf numFmtId="4" fontId="5" fillId="4" borderId="5" xfId="17" applyNumberFormat="1" applyFont="1" applyFill="1" applyBorder="1" applyAlignment="1" applyProtection="1">
      <alignment/>
      <protection/>
    </xf>
    <xf numFmtId="167" fontId="5" fillId="0" borderId="6" xfId="19" applyFont="1" applyBorder="1">
      <alignment/>
      <protection/>
    </xf>
    <xf numFmtId="195" fontId="5" fillId="0" borderId="6" xfId="19" applyNumberFormat="1" applyFont="1" applyBorder="1" applyAlignment="1">
      <alignment horizontal="center"/>
      <protection/>
    </xf>
    <xf numFmtId="166" fontId="5" fillId="0" borderId="6" xfId="19" applyNumberFormat="1" applyFont="1" applyBorder="1" applyAlignment="1">
      <alignment horizontal="center"/>
      <protection/>
    </xf>
    <xf numFmtId="165" fontId="5" fillId="0" borderId="7" xfId="17" applyFont="1" applyFill="1" applyBorder="1" applyAlignment="1" applyProtection="1">
      <alignment/>
      <protection/>
    </xf>
    <xf numFmtId="165" fontId="5" fillId="0" borderId="6" xfId="17" applyFont="1" applyFill="1" applyBorder="1" applyAlignment="1" applyProtection="1">
      <alignment/>
      <protection/>
    </xf>
    <xf numFmtId="4" fontId="5" fillId="0" borderId="7" xfId="17" applyNumberFormat="1" applyFont="1" applyFill="1" applyBorder="1" applyAlignment="1" applyProtection="1">
      <alignment/>
      <protection/>
    </xf>
    <xf numFmtId="167" fontId="5" fillId="0" borderId="8" xfId="19" applyFont="1" applyBorder="1">
      <alignment/>
      <protection/>
    </xf>
    <xf numFmtId="195" fontId="5" fillId="0" borderId="8" xfId="19" applyNumberFormat="1" applyFont="1" applyBorder="1" applyAlignment="1">
      <alignment horizontal="center"/>
      <protection/>
    </xf>
    <xf numFmtId="166" fontId="5" fillId="0" borderId="8" xfId="19" applyNumberFormat="1" applyFont="1" applyBorder="1" applyAlignment="1">
      <alignment horizontal="center"/>
      <protection/>
    </xf>
    <xf numFmtId="165" fontId="5" fillId="0" borderId="9" xfId="17" applyFont="1" applyFill="1" applyBorder="1" applyAlignment="1" applyProtection="1">
      <alignment/>
      <protection/>
    </xf>
    <xf numFmtId="165" fontId="5" fillId="0" borderId="8" xfId="17" applyFont="1" applyFill="1" applyBorder="1" applyAlignment="1" applyProtection="1">
      <alignment/>
      <protection/>
    </xf>
    <xf numFmtId="4" fontId="5" fillId="0" borderId="9" xfId="17" applyNumberFormat="1" applyFont="1" applyFill="1" applyBorder="1" applyAlignment="1" applyProtection="1">
      <alignment/>
      <protection/>
    </xf>
    <xf numFmtId="167" fontId="5" fillId="0" borderId="10" xfId="19" applyFont="1" applyBorder="1">
      <alignment/>
      <protection/>
    </xf>
    <xf numFmtId="195" fontId="5" fillId="0" borderId="10" xfId="19" applyNumberFormat="1" applyFont="1" applyBorder="1" applyAlignment="1">
      <alignment horizontal="center"/>
      <protection/>
    </xf>
    <xf numFmtId="165" fontId="5" fillId="0" borderId="11" xfId="17" applyFont="1" applyFill="1" applyBorder="1" applyAlignment="1" applyProtection="1">
      <alignment/>
      <protection/>
    </xf>
    <xf numFmtId="165" fontId="5" fillId="0" borderId="10" xfId="17" applyFont="1" applyFill="1" applyBorder="1" applyAlignment="1" applyProtection="1">
      <alignment/>
      <protection/>
    </xf>
    <xf numFmtId="4" fontId="5" fillId="0" borderId="11" xfId="17" applyNumberFormat="1" applyFont="1" applyFill="1" applyBorder="1" applyAlignment="1" applyProtection="1">
      <alignment/>
      <protection/>
    </xf>
    <xf numFmtId="167" fontId="7" fillId="4" borderId="5" xfId="19" applyFont="1" applyFill="1" applyBorder="1">
      <alignment/>
      <protection/>
    </xf>
    <xf numFmtId="167" fontId="7" fillId="4" borderId="5" xfId="19" applyFont="1" applyFill="1" applyBorder="1" applyAlignment="1">
      <alignment horizontal="center"/>
      <protection/>
    </xf>
    <xf numFmtId="166" fontId="7" fillId="4" borderId="5" xfId="19" applyNumberFormat="1" applyFont="1" applyFill="1" applyBorder="1" applyAlignment="1">
      <alignment horizontal="center"/>
      <protection/>
    </xf>
    <xf numFmtId="165" fontId="7" fillId="4" borderId="5" xfId="17" applyFont="1" applyFill="1" applyBorder="1" applyAlignment="1" applyProtection="1">
      <alignment/>
      <protection/>
    </xf>
    <xf numFmtId="4" fontId="7" fillId="4" borderId="5" xfId="17" applyNumberFormat="1" applyFont="1" applyFill="1" applyBorder="1" applyAlignment="1" applyProtection="1">
      <alignment/>
      <protection/>
    </xf>
    <xf numFmtId="167" fontId="5" fillId="0" borderId="6" xfId="19" applyFont="1" applyFill="1" applyBorder="1">
      <alignment/>
      <protection/>
    </xf>
    <xf numFmtId="167" fontId="7" fillId="0" borderId="6" xfId="19" applyFont="1" applyFill="1" applyBorder="1" applyAlignment="1">
      <alignment horizontal="center"/>
      <protection/>
    </xf>
    <xf numFmtId="166" fontId="7" fillId="0" borderId="6" xfId="19" applyNumberFormat="1" applyFont="1" applyFill="1" applyBorder="1" applyAlignment="1">
      <alignment horizontal="center"/>
      <protection/>
    </xf>
    <xf numFmtId="4" fontId="5" fillId="0" borderId="6" xfId="17" applyNumberFormat="1" applyFont="1" applyFill="1" applyBorder="1" applyAlignment="1" applyProtection="1">
      <alignment/>
      <protection/>
    </xf>
    <xf numFmtId="167" fontId="7" fillId="0" borderId="8" xfId="19" applyFont="1" applyBorder="1" applyAlignment="1">
      <alignment horizontal="center"/>
      <protection/>
    </xf>
    <xf numFmtId="166" fontId="7" fillId="0" borderId="8" xfId="19" applyNumberFormat="1" applyFont="1" applyBorder="1" applyAlignment="1">
      <alignment horizontal="center"/>
      <protection/>
    </xf>
    <xf numFmtId="4" fontId="5" fillId="0" borderId="8" xfId="17" applyNumberFormat="1" applyFont="1" applyFill="1" applyBorder="1" applyAlignment="1" applyProtection="1">
      <alignment/>
      <protection/>
    </xf>
    <xf numFmtId="167" fontId="7" fillId="0" borderId="10" xfId="19" applyFont="1" applyBorder="1" applyAlignment="1">
      <alignment horizontal="center"/>
      <protection/>
    </xf>
    <xf numFmtId="166" fontId="7" fillId="0" borderId="10" xfId="19" applyNumberFormat="1" applyFont="1" applyBorder="1" applyAlignment="1">
      <alignment horizontal="center"/>
      <protection/>
    </xf>
    <xf numFmtId="4" fontId="5" fillId="0" borderId="10" xfId="17" applyNumberFormat="1" applyFont="1" applyFill="1" applyBorder="1" applyAlignment="1" applyProtection="1">
      <alignment/>
      <protection/>
    </xf>
    <xf numFmtId="167" fontId="11" fillId="0" borderId="0" xfId="19" applyFont="1" applyAlignment="1">
      <alignment horizontal="center"/>
      <protection/>
    </xf>
    <xf numFmtId="166" fontId="11" fillId="0" borderId="0" xfId="19" applyNumberFormat="1" applyFont="1" applyAlignment="1">
      <alignment horizontal="center"/>
      <protection/>
    </xf>
    <xf numFmtId="165" fontId="11" fillId="0" borderId="0" xfId="17" applyFont="1" applyAlignment="1">
      <alignment horizontal="center"/>
    </xf>
    <xf numFmtId="0" fontId="11" fillId="0" borderId="0" xfId="21" applyNumberFormat="1" applyFont="1" applyAlignment="1">
      <alignment horizontal="center"/>
    </xf>
    <xf numFmtId="165" fontId="8" fillId="0" borderId="1" xfId="2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justify" wrapText="1"/>
    </xf>
    <xf numFmtId="0" fontId="12" fillId="0" borderId="4" xfId="0" applyFont="1" applyBorder="1" applyAlignment="1">
      <alignment horizontal="left" vertical="center" wrapText="1"/>
    </xf>
    <xf numFmtId="4" fontId="0" fillId="0" borderId="4" xfId="22" applyNumberFormat="1" applyBorder="1" applyAlignment="1">
      <alignment horizontal="right" vertical="center" wrapText="1"/>
    </xf>
    <xf numFmtId="4" fontId="12" fillId="0" borderId="4" xfId="22" applyNumberFormat="1" applyFont="1" applyBorder="1" applyAlignment="1">
      <alignment vertical="center"/>
    </xf>
    <xf numFmtId="44" fontId="3" fillId="0" borderId="0" xfId="22" applyAlignment="1">
      <alignment/>
    </xf>
    <xf numFmtId="44" fontId="3" fillId="0" borderId="0" xfId="22" applyFont="1" applyAlignment="1">
      <alignment/>
    </xf>
    <xf numFmtId="9" fontId="14" fillId="0" borderId="0" xfId="0" applyNumberFormat="1" applyFont="1" applyAlignment="1">
      <alignment/>
    </xf>
    <xf numFmtId="44" fontId="14" fillId="0" borderId="0" xfId="22" applyFont="1" applyAlignment="1">
      <alignment/>
    </xf>
    <xf numFmtId="165" fontId="3" fillId="0" borderId="0" xfId="21" applyNumberFormat="1" applyFont="1" applyAlignment="1">
      <alignment horizontal="center"/>
    </xf>
    <xf numFmtId="194" fontId="5" fillId="0" borderId="1" xfId="21" applyNumberFormat="1" applyFont="1" applyFill="1" applyBorder="1" applyAlignment="1">
      <alignment horizontal="center" vertical="center"/>
    </xf>
    <xf numFmtId="198" fontId="5" fillId="0" borderId="1" xfId="21" applyNumberFormat="1" applyFont="1" applyFill="1" applyBorder="1" applyAlignment="1">
      <alignment horizontal="center" vertical="center"/>
    </xf>
    <xf numFmtId="199" fontId="5" fillId="0" borderId="1" xfId="21" applyNumberFormat="1" applyFont="1" applyFill="1" applyBorder="1" applyAlignment="1">
      <alignment horizontal="center" vertical="center"/>
    </xf>
    <xf numFmtId="44" fontId="0" fillId="0" borderId="0" xfId="22" applyAlignment="1">
      <alignment/>
    </xf>
    <xf numFmtId="44" fontId="0" fillId="0" borderId="0" xfId="0" applyNumberFormat="1" applyAlignment="1">
      <alignment/>
    </xf>
    <xf numFmtId="44" fontId="0" fillId="0" borderId="0" xfId="22" applyFont="1" applyAlignment="1">
      <alignment/>
    </xf>
    <xf numFmtId="0" fontId="0" fillId="3" borderId="0" xfId="0" applyFill="1" applyAlignment="1">
      <alignment/>
    </xf>
    <xf numFmtId="44" fontId="0" fillId="3" borderId="0" xfId="22" applyFill="1" applyAlignment="1">
      <alignment/>
    </xf>
    <xf numFmtId="44" fontId="0" fillId="3" borderId="0" xfId="0" applyNumberFormat="1" applyFill="1" applyAlignment="1">
      <alignment/>
    </xf>
    <xf numFmtId="4" fontId="12" fillId="0" borderId="4" xfId="22" applyNumberFormat="1" applyFont="1" applyFill="1" applyBorder="1" applyAlignment="1">
      <alignment vertical="center"/>
    </xf>
    <xf numFmtId="44" fontId="0" fillId="5" borderId="0" xfId="0" applyNumberFormat="1" applyFill="1" applyAlignment="1">
      <alignment/>
    </xf>
    <xf numFmtId="44" fontId="0" fillId="5" borderId="0" xfId="22" applyFill="1" applyAlignment="1">
      <alignment/>
    </xf>
    <xf numFmtId="44" fontId="0" fillId="6" borderId="0" xfId="22" applyFill="1" applyAlignment="1">
      <alignment/>
    </xf>
    <xf numFmtId="44" fontId="0" fillId="6" borderId="0" xfId="0" applyNumberFormat="1" applyFill="1" applyAlignment="1">
      <alignment/>
    </xf>
    <xf numFmtId="44" fontId="0" fillId="7" borderId="0" xfId="22" applyFill="1" applyAlignment="1">
      <alignment/>
    </xf>
    <xf numFmtId="44" fontId="0" fillId="7" borderId="0" xfId="0" applyNumberFormat="1" applyFill="1" applyAlignment="1">
      <alignment/>
    </xf>
    <xf numFmtId="44" fontId="0" fillId="0" borderId="0" xfId="0" applyNumberFormat="1" applyFont="1" applyAlignment="1">
      <alignment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4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/>
    </xf>
    <xf numFmtId="167" fontId="6" fillId="0" borderId="0" xfId="19" applyFont="1" applyAlignment="1">
      <alignment horizontal="center"/>
      <protection/>
    </xf>
    <xf numFmtId="167" fontId="5" fillId="0" borderId="2" xfId="19" applyFont="1" applyBorder="1" applyAlignment="1">
      <alignment horizontal="center"/>
      <protection/>
    </xf>
    <xf numFmtId="167" fontId="5" fillId="0" borderId="3" xfId="19" applyFont="1" applyBorder="1" applyAlignment="1">
      <alignment horizontal="center"/>
      <protection/>
    </xf>
    <xf numFmtId="165" fontId="11" fillId="0" borderId="15" xfId="17" applyFont="1" applyBorder="1" applyAlignment="1">
      <alignment horizontal="center"/>
    </xf>
    <xf numFmtId="9" fontId="3" fillId="0" borderId="0" xfId="21" applyFont="1" applyAlignment="1">
      <alignment horizontal="center"/>
    </xf>
    <xf numFmtId="9" fontId="3" fillId="0" borderId="0" xfId="21" applyAlignment="1">
      <alignment horizontal="center"/>
    </xf>
    <xf numFmtId="4" fontId="12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22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4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0" fillId="0" borderId="4" xfId="22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</cellXfs>
  <cellStyles count="11">
    <cellStyle name="Normal" xfId="0"/>
    <cellStyle name="Comma" xfId="15"/>
    <cellStyle name="Comma [0]" xfId="16"/>
    <cellStyle name="Dziesiętny_wodociąg tabelki" xfId="17"/>
    <cellStyle name="Hyperlink" xfId="18"/>
    <cellStyle name="Normalny_wodociąg tabelki" xfId="19"/>
    <cellStyle name="Followed Hyperlink" xfId="20"/>
    <cellStyle name="Percent" xfId="21"/>
    <cellStyle name="Currency" xfId="22"/>
    <cellStyle name="Currency [0]" xfId="23"/>
    <cellStyle name="Walutowy_wodociąg tabelki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8"/>
  <sheetViews>
    <sheetView workbookViewId="0" topLeftCell="A1">
      <selection activeCell="D14" sqref="D14"/>
    </sheetView>
  </sheetViews>
  <sheetFormatPr defaultColWidth="9.00390625" defaultRowHeight="12.75"/>
  <cols>
    <col min="2" max="2" width="9.25390625" style="0" bestFit="1" customWidth="1"/>
    <col min="3" max="3" width="19.625" style="0" bestFit="1" customWidth="1"/>
    <col min="4" max="4" width="18.00390625" style="0" bestFit="1" customWidth="1"/>
    <col min="5" max="5" width="19.625" style="0" bestFit="1" customWidth="1"/>
  </cols>
  <sheetData>
    <row r="5" spans="3:5" ht="12.75">
      <c r="C5" s="104" t="s">
        <v>96</v>
      </c>
      <c r="D5" s="104" t="s">
        <v>97</v>
      </c>
      <c r="E5" s="104" t="s">
        <v>98</v>
      </c>
    </row>
    <row r="6" spans="2:5" ht="18">
      <c r="B6" s="114">
        <v>0.22</v>
      </c>
      <c r="C6" s="115">
        <v>5000</v>
      </c>
      <c r="D6" s="115">
        <f>C6*B6/1.22</f>
        <v>901.6393442622951</v>
      </c>
      <c r="E6" s="115">
        <f>C6-D6</f>
        <v>4098.360655737705</v>
      </c>
    </row>
    <row r="7" spans="2:5" ht="18">
      <c r="B7" s="114">
        <v>0.07</v>
      </c>
      <c r="C7" s="115">
        <v>1500</v>
      </c>
      <c r="D7" s="115">
        <f>C7*B7/1.07</f>
        <v>98.13084112149534</v>
      </c>
      <c r="E7" s="115">
        <f>C7-D7</f>
        <v>1401.8691588785045</v>
      </c>
    </row>
    <row r="8" spans="2:5" ht="18">
      <c r="B8" s="114">
        <v>0</v>
      </c>
      <c r="C8" s="115">
        <v>0</v>
      </c>
      <c r="D8" s="115"/>
      <c r="E8" s="11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="75" zoomScaleNormal="75" workbookViewId="0" topLeftCell="A1">
      <selection activeCell="K5" sqref="K5"/>
    </sheetView>
  </sheetViews>
  <sheetFormatPr defaultColWidth="9.00390625" defaultRowHeight="12.75"/>
  <cols>
    <col min="1" max="1" width="35.875" style="4" customWidth="1"/>
    <col min="2" max="2" width="9.875" style="10" customWidth="1"/>
    <col min="3" max="3" width="10.625" style="14" bestFit="1" customWidth="1"/>
    <col min="4" max="4" width="16.00390625" style="34" customWidth="1"/>
    <col min="5" max="5" width="16.00390625" style="34" bestFit="1" customWidth="1"/>
    <col min="6" max="6" width="15.125" style="34" bestFit="1" customWidth="1"/>
    <col min="7" max="7" width="16.00390625" style="34" bestFit="1" customWidth="1"/>
    <col min="8" max="8" width="15.625" style="34" bestFit="1" customWidth="1"/>
    <col min="9" max="9" width="13.25390625" style="4" bestFit="1" customWidth="1"/>
    <col min="10" max="10" width="11.375" style="4" customWidth="1"/>
    <col min="11" max="11" width="17.875" style="4" bestFit="1" customWidth="1"/>
    <col min="12" max="16384" width="11.375" style="4" customWidth="1"/>
  </cols>
  <sheetData>
    <row r="1" spans="1:8" ht="16.5">
      <c r="A1" s="1"/>
      <c r="B1" s="2"/>
      <c r="C1" s="3"/>
      <c r="D1" s="15"/>
      <c r="E1" s="15"/>
      <c r="F1" s="15"/>
      <c r="G1" s="15"/>
      <c r="H1" s="15"/>
    </row>
    <row r="2" spans="1:8" ht="16.5">
      <c r="A2" s="141" t="s">
        <v>0</v>
      </c>
      <c r="B2" s="141"/>
      <c r="C2" s="141"/>
      <c r="D2" s="141"/>
      <c r="E2" s="141"/>
      <c r="F2" s="141"/>
      <c r="G2" s="141"/>
      <c r="H2" s="141"/>
    </row>
    <row r="3" spans="1:8" ht="16.5">
      <c r="A3" s="141"/>
      <c r="B3" s="141"/>
      <c r="C3" s="141"/>
      <c r="D3" s="141"/>
      <c r="E3" s="141"/>
      <c r="F3" s="141"/>
      <c r="G3" s="141"/>
      <c r="H3" s="141"/>
    </row>
    <row r="4" spans="1:8" ht="17.25" thickBot="1">
      <c r="A4" s="1"/>
      <c r="B4" s="2"/>
      <c r="C4" s="3"/>
      <c r="D4" s="16"/>
      <c r="E4" s="16"/>
      <c r="F4" s="16"/>
      <c r="G4" s="15"/>
      <c r="H4" s="15"/>
    </row>
    <row r="5" spans="1:9" s="8" customFormat="1" ht="40.5" customHeight="1" thickBot="1" thickTop="1">
      <c r="A5" s="5" t="s">
        <v>1</v>
      </c>
      <c r="B5" s="6" t="s">
        <v>34</v>
      </c>
      <c r="C5" s="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94</v>
      </c>
      <c r="I5" s="17" t="s">
        <v>95</v>
      </c>
    </row>
    <row r="6" spans="1:9" ht="18" thickBot="1" thickTop="1">
      <c r="A6" s="11" t="s">
        <v>7</v>
      </c>
      <c r="B6" s="13" t="s">
        <v>35</v>
      </c>
      <c r="C6" s="45">
        <v>1</v>
      </c>
      <c r="D6" s="18">
        <f>E6+F6</f>
        <v>9000</v>
      </c>
      <c r="E6" s="18">
        <v>9000</v>
      </c>
      <c r="F6" s="18">
        <v>0</v>
      </c>
      <c r="G6" s="18">
        <f>E6+F6</f>
        <v>9000</v>
      </c>
      <c r="H6" s="18">
        <f>F6*80%</f>
        <v>0</v>
      </c>
      <c r="I6" s="18">
        <v>0</v>
      </c>
    </row>
    <row r="7" spans="1:9" ht="18" thickBot="1" thickTop="1">
      <c r="A7" s="19" t="s">
        <v>13</v>
      </c>
      <c r="B7" s="13"/>
      <c r="C7" s="45"/>
      <c r="D7" s="18">
        <f>E7+F7</f>
        <v>0</v>
      </c>
      <c r="E7" s="18">
        <v>0</v>
      </c>
      <c r="F7" s="18">
        <v>0</v>
      </c>
      <c r="G7" s="18">
        <f>E7+F7*20%</f>
        <v>0</v>
      </c>
      <c r="H7" s="18">
        <f>F7*80%</f>
        <v>0</v>
      </c>
      <c r="I7" s="18">
        <f>G7*80%</f>
        <v>0</v>
      </c>
    </row>
    <row r="8" spans="1:9" ht="18" thickBot="1" thickTop="1">
      <c r="A8" s="19" t="s">
        <v>13</v>
      </c>
      <c r="B8" s="13"/>
      <c r="C8" s="45"/>
      <c r="D8" s="18">
        <f>E8+F8</f>
        <v>0</v>
      </c>
      <c r="E8" s="18">
        <v>0</v>
      </c>
      <c r="F8" s="18">
        <v>0</v>
      </c>
      <c r="G8" s="18">
        <f>E8+F8*20%</f>
        <v>0</v>
      </c>
      <c r="H8" s="18">
        <f>F8*80%</f>
        <v>0</v>
      </c>
      <c r="I8" s="18">
        <f>G8*80%</f>
        <v>0</v>
      </c>
    </row>
    <row r="9" spans="1:9" ht="18" thickBot="1" thickTop="1">
      <c r="A9" s="19" t="s">
        <v>13</v>
      </c>
      <c r="B9" s="13"/>
      <c r="C9" s="45"/>
      <c r="D9" s="18">
        <f>E9+F9</f>
        <v>0</v>
      </c>
      <c r="E9" s="18">
        <v>0</v>
      </c>
      <c r="F9" s="18">
        <v>0</v>
      </c>
      <c r="G9" s="18">
        <f>E9+F9*20%</f>
        <v>0</v>
      </c>
      <c r="H9" s="18">
        <f>F9*80%</f>
        <v>0</v>
      </c>
      <c r="I9" s="18">
        <f>G9*80%</f>
        <v>0</v>
      </c>
    </row>
    <row r="10" spans="1:9" ht="18" thickBot="1" thickTop="1">
      <c r="A10" s="20" t="s">
        <v>8</v>
      </c>
      <c r="B10" s="9"/>
      <c r="C10" s="21"/>
      <c r="D10" s="22">
        <f>SUM(D6:D7)</f>
        <v>9000</v>
      </c>
      <c r="E10" s="22">
        <f>SUM(E6:E9)</f>
        <v>9000</v>
      </c>
      <c r="F10" s="22">
        <f>SUM(F6:F9)</f>
        <v>0</v>
      </c>
      <c r="G10" s="22">
        <f>SUM(G6:G9)</f>
        <v>9000</v>
      </c>
      <c r="H10" s="22">
        <f>SUM(H6:H9)</f>
        <v>0</v>
      </c>
      <c r="I10" s="22">
        <f>SUM(I6:I9)</f>
        <v>0</v>
      </c>
    </row>
    <row r="11" spans="1:9" ht="47.25" thickBot="1" thickTop="1">
      <c r="A11" s="46" t="s">
        <v>36</v>
      </c>
      <c r="B11" s="13" t="s">
        <v>35</v>
      </c>
      <c r="C11" s="45">
        <v>1</v>
      </c>
      <c r="D11" s="18">
        <f>E11+F11</f>
        <v>185619.16</v>
      </c>
      <c r="E11" s="18">
        <v>0</v>
      </c>
      <c r="F11" s="18">
        <v>185619.16</v>
      </c>
      <c r="G11" s="18">
        <f>E11+F11*20%</f>
        <v>37123.832</v>
      </c>
      <c r="H11" s="18">
        <f>F11*70%</f>
        <v>129933.412</v>
      </c>
      <c r="I11" s="18">
        <f>F11*10%</f>
        <v>18561.916</v>
      </c>
    </row>
    <row r="12" spans="1:9" ht="18" thickBot="1" thickTop="1">
      <c r="A12" s="11" t="s">
        <v>40</v>
      </c>
      <c r="B12" s="13" t="s">
        <v>35</v>
      </c>
      <c r="C12" s="45">
        <v>1</v>
      </c>
      <c r="D12" s="18">
        <f aca="true" t="shared" si="0" ref="D12:D17">E12+F12</f>
        <v>2000</v>
      </c>
      <c r="E12" s="18">
        <v>0</v>
      </c>
      <c r="F12" s="18">
        <v>2000</v>
      </c>
      <c r="G12" s="18">
        <f>E12+F12*20%</f>
        <v>400</v>
      </c>
      <c r="H12" s="18">
        <f>F12*70%</f>
        <v>1400</v>
      </c>
      <c r="I12" s="18">
        <f>F12*10%</f>
        <v>200</v>
      </c>
    </row>
    <row r="13" spans="1:9" ht="18" thickBot="1" thickTop="1">
      <c r="A13" s="11" t="s">
        <v>13</v>
      </c>
      <c r="B13" s="13" t="s">
        <v>13</v>
      </c>
      <c r="C13" s="45" t="s">
        <v>13</v>
      </c>
      <c r="D13" s="18">
        <f t="shared" si="0"/>
        <v>0</v>
      </c>
      <c r="E13" s="18">
        <v>0</v>
      </c>
      <c r="F13" s="18">
        <v>0</v>
      </c>
      <c r="G13" s="18">
        <f aca="true" t="shared" si="1" ref="G13:G18">E13+F13*20%</f>
        <v>0</v>
      </c>
      <c r="H13" s="18">
        <f aca="true" t="shared" si="2" ref="H13:I18">F13*80%</f>
        <v>0</v>
      </c>
      <c r="I13" s="18">
        <f>G13*70%</f>
        <v>0</v>
      </c>
    </row>
    <row r="14" spans="1:9" ht="18" thickBot="1" thickTop="1">
      <c r="A14" s="11" t="s">
        <v>13</v>
      </c>
      <c r="B14" s="13"/>
      <c r="C14" s="45"/>
      <c r="D14" s="18">
        <f t="shared" si="0"/>
        <v>0</v>
      </c>
      <c r="E14" s="18">
        <v>0</v>
      </c>
      <c r="F14" s="18">
        <v>0</v>
      </c>
      <c r="G14" s="18">
        <f t="shared" si="1"/>
        <v>0</v>
      </c>
      <c r="H14" s="18">
        <f t="shared" si="2"/>
        <v>0</v>
      </c>
      <c r="I14" s="18">
        <f t="shared" si="2"/>
        <v>0</v>
      </c>
    </row>
    <row r="15" spans="1:9" ht="18" thickBot="1" thickTop="1">
      <c r="A15" s="11" t="s">
        <v>13</v>
      </c>
      <c r="B15" s="13"/>
      <c r="C15" s="45"/>
      <c r="D15" s="18">
        <f t="shared" si="0"/>
        <v>0</v>
      </c>
      <c r="E15" s="18">
        <v>0</v>
      </c>
      <c r="F15" s="18">
        <v>0</v>
      </c>
      <c r="G15" s="18">
        <f t="shared" si="1"/>
        <v>0</v>
      </c>
      <c r="H15" s="18">
        <f t="shared" si="2"/>
        <v>0</v>
      </c>
      <c r="I15" s="18">
        <f t="shared" si="2"/>
        <v>0</v>
      </c>
    </row>
    <row r="16" spans="1:9" ht="18" thickBot="1" thickTop="1">
      <c r="A16" s="11" t="s">
        <v>13</v>
      </c>
      <c r="B16" s="13"/>
      <c r="C16" s="45"/>
      <c r="D16" s="18">
        <f t="shared" si="0"/>
        <v>0</v>
      </c>
      <c r="E16" s="18">
        <v>0</v>
      </c>
      <c r="F16" s="18">
        <v>0</v>
      </c>
      <c r="G16" s="18">
        <f t="shared" si="1"/>
        <v>0</v>
      </c>
      <c r="H16" s="18">
        <f t="shared" si="2"/>
        <v>0</v>
      </c>
      <c r="I16" s="18">
        <f t="shared" si="2"/>
        <v>0</v>
      </c>
    </row>
    <row r="17" spans="1:9" ht="18" thickBot="1" thickTop="1">
      <c r="A17" s="11" t="s">
        <v>13</v>
      </c>
      <c r="B17" s="13"/>
      <c r="C17" s="45"/>
      <c r="D17" s="18">
        <f t="shared" si="0"/>
        <v>0</v>
      </c>
      <c r="E17" s="18"/>
      <c r="F17" s="18">
        <v>0</v>
      </c>
      <c r="G17" s="18">
        <f t="shared" si="1"/>
        <v>0</v>
      </c>
      <c r="H17" s="18">
        <f t="shared" si="2"/>
        <v>0</v>
      </c>
      <c r="I17" s="18">
        <f t="shared" si="2"/>
        <v>0</v>
      </c>
    </row>
    <row r="18" spans="1:9" ht="18" thickBot="1" thickTop="1">
      <c r="A18" s="11" t="s">
        <v>13</v>
      </c>
      <c r="B18" s="13" t="s">
        <v>13</v>
      </c>
      <c r="C18" s="45" t="s">
        <v>13</v>
      </c>
      <c r="D18" s="18">
        <f>E18+F18</f>
        <v>0</v>
      </c>
      <c r="E18" s="18">
        <v>0</v>
      </c>
      <c r="F18" s="18">
        <v>0</v>
      </c>
      <c r="G18" s="18">
        <f t="shared" si="1"/>
        <v>0</v>
      </c>
      <c r="H18" s="18">
        <f t="shared" si="2"/>
        <v>0</v>
      </c>
      <c r="I18" s="18">
        <f t="shared" si="2"/>
        <v>0</v>
      </c>
    </row>
    <row r="19" spans="1:11" ht="18" thickBot="1" thickTop="1">
      <c r="A19" s="20" t="s">
        <v>9</v>
      </c>
      <c r="B19" s="23"/>
      <c r="C19" s="24"/>
      <c r="D19" s="22">
        <f aca="true" t="shared" si="3" ref="D19:I19">SUM(D11:D18)</f>
        <v>187619.16</v>
      </c>
      <c r="E19" s="22">
        <f t="shared" si="3"/>
        <v>0</v>
      </c>
      <c r="F19" s="22">
        <f t="shared" si="3"/>
        <v>187619.16</v>
      </c>
      <c r="G19" s="22">
        <f t="shared" si="3"/>
        <v>37523.832</v>
      </c>
      <c r="H19" s="22">
        <f t="shared" si="3"/>
        <v>131333.412</v>
      </c>
      <c r="I19" s="22">
        <f t="shared" si="3"/>
        <v>18761.916</v>
      </c>
      <c r="K19" s="4">
        <f>G11+G12+G21+G22+G23</f>
        <v>42323.832</v>
      </c>
    </row>
    <row r="20" spans="1:9" ht="18" thickBot="1" thickTop="1">
      <c r="A20" s="19" t="s">
        <v>69</v>
      </c>
      <c r="B20" s="39" t="s">
        <v>35</v>
      </c>
      <c r="C20" s="47">
        <v>1</v>
      </c>
      <c r="D20" s="18">
        <f>E20+F20</f>
        <v>5000</v>
      </c>
      <c r="E20" s="40">
        <v>0</v>
      </c>
      <c r="F20" s="40">
        <v>5000</v>
      </c>
      <c r="G20" s="18">
        <f>E20+F20*20%</f>
        <v>1000</v>
      </c>
      <c r="H20" s="18">
        <f>F20*70%</f>
        <v>3500</v>
      </c>
      <c r="I20" s="18">
        <f>F20*10%</f>
        <v>500</v>
      </c>
    </row>
    <row r="21" spans="1:9" ht="18" thickBot="1" thickTop="1">
      <c r="A21" s="11" t="s">
        <v>37</v>
      </c>
      <c r="B21" s="25" t="s">
        <v>35</v>
      </c>
      <c r="C21" s="48">
        <v>1</v>
      </c>
      <c r="D21" s="18">
        <f>E21+F21</f>
        <v>2000</v>
      </c>
      <c r="E21" s="18">
        <v>2000</v>
      </c>
      <c r="F21" s="18">
        <v>0</v>
      </c>
      <c r="G21" s="18">
        <f>E21+F21*20%</f>
        <v>2000</v>
      </c>
      <c r="H21" s="18">
        <f>F21*70%</f>
        <v>0</v>
      </c>
      <c r="I21" s="18">
        <v>0</v>
      </c>
    </row>
    <row r="22" spans="1:9" ht="18" thickBot="1" thickTop="1">
      <c r="A22" s="11" t="s">
        <v>38</v>
      </c>
      <c r="B22" s="25" t="s">
        <v>35</v>
      </c>
      <c r="C22" s="48">
        <v>1</v>
      </c>
      <c r="D22" s="18">
        <f>E22+F22</f>
        <v>4000</v>
      </c>
      <c r="E22" s="18">
        <v>0</v>
      </c>
      <c r="F22" s="18">
        <v>4000</v>
      </c>
      <c r="G22" s="18">
        <f>E22+F22*20%</f>
        <v>800</v>
      </c>
      <c r="H22" s="18">
        <f>F22*70%</f>
        <v>2800</v>
      </c>
      <c r="I22" s="18">
        <f>F22*10%</f>
        <v>400</v>
      </c>
    </row>
    <row r="23" spans="1:9" ht="18" thickBot="1" thickTop="1">
      <c r="A23" s="11" t="s">
        <v>39</v>
      </c>
      <c r="B23" s="25" t="s">
        <v>35</v>
      </c>
      <c r="C23" s="48">
        <v>1</v>
      </c>
      <c r="D23" s="18">
        <f>E23+F23</f>
        <v>2000</v>
      </c>
      <c r="E23" s="18">
        <v>2000</v>
      </c>
      <c r="F23" s="18">
        <v>0</v>
      </c>
      <c r="G23" s="18">
        <f>E23+F23*20%</f>
        <v>2000</v>
      </c>
      <c r="H23" s="18">
        <f>F23*70%</f>
        <v>0</v>
      </c>
      <c r="I23" s="18">
        <v>0</v>
      </c>
    </row>
    <row r="24" spans="1:9" ht="18" thickBot="1" thickTop="1">
      <c r="A24" s="20" t="s">
        <v>10</v>
      </c>
      <c r="B24" s="23"/>
      <c r="C24" s="24"/>
      <c r="D24" s="26">
        <f>SUM(D20:D23)</f>
        <v>13000</v>
      </c>
      <c r="E24" s="26">
        <f>SUM(E20:E23)</f>
        <v>4000</v>
      </c>
      <c r="F24" s="26">
        <f>SUM(F20:F23)</f>
        <v>9000</v>
      </c>
      <c r="G24" s="26">
        <f>G20+G22+G21+G23</f>
        <v>5800</v>
      </c>
      <c r="H24" s="26">
        <f>SUM(H20:H23)</f>
        <v>6300</v>
      </c>
      <c r="I24" s="26">
        <f>SUM(I20:I23)</f>
        <v>900</v>
      </c>
    </row>
    <row r="25" spans="1:9" s="12" customFormat="1" ht="18" thickBot="1" thickTop="1">
      <c r="A25" s="11" t="s">
        <v>3</v>
      </c>
      <c r="B25" s="142"/>
      <c r="C25" s="143"/>
      <c r="D25" s="29">
        <f>SUM(D24,D19,D10)</f>
        <v>209619.16</v>
      </c>
      <c r="E25" s="30">
        <f>SUM(E24,E19,E10)</f>
        <v>13000</v>
      </c>
      <c r="F25" s="30">
        <f>SUM(F24,F19,F10)</f>
        <v>196619.16</v>
      </c>
      <c r="G25" s="30">
        <f>G19+G24+G10</f>
        <v>52323.832</v>
      </c>
      <c r="H25" s="30">
        <f>SUM(H24,H19,H10)</f>
        <v>137633.412</v>
      </c>
      <c r="I25" s="30">
        <f>SUM(I24,I19,I10)</f>
        <v>19661.916</v>
      </c>
    </row>
    <row r="26" spans="1:9" s="12" customFormat="1" ht="18" thickBot="1" thickTop="1">
      <c r="A26" s="11" t="s">
        <v>11</v>
      </c>
      <c r="B26" s="27"/>
      <c r="C26" s="28"/>
      <c r="D26" s="31"/>
      <c r="E26" s="32"/>
      <c r="F26" s="32"/>
      <c r="G26" s="32">
        <f>G25/F25</f>
        <v>0.266117666253889</v>
      </c>
      <c r="H26" s="37">
        <f>H25/F25</f>
        <v>0.7000000000000001</v>
      </c>
      <c r="I26" s="37">
        <f>I25/F25</f>
        <v>0.1</v>
      </c>
    </row>
    <row r="27" spans="1:9" ht="18" thickBot="1" thickTop="1">
      <c r="A27" s="11" t="s">
        <v>12</v>
      </c>
      <c r="B27" s="142"/>
      <c r="C27" s="143"/>
      <c r="D27" s="33">
        <v>1</v>
      </c>
      <c r="E27" s="33">
        <f>E25/D25</f>
        <v>0.06201723163092534</v>
      </c>
      <c r="F27" s="33">
        <f>F25/D25</f>
        <v>0.9379827683690747</v>
      </c>
      <c r="G27" s="33">
        <f>G25/D25</f>
        <v>0.24961378530474027</v>
      </c>
      <c r="H27" s="33">
        <f>H25/D25</f>
        <v>0.6565879378583523</v>
      </c>
      <c r="I27" s="33">
        <f>I25/E25</f>
        <v>1.512455076923077</v>
      </c>
    </row>
    <row r="28" spans="5:8" ht="17.25" thickTop="1">
      <c r="E28" s="41" t="s">
        <v>13</v>
      </c>
      <c r="F28" s="42"/>
      <c r="G28" s="41" t="s">
        <v>13</v>
      </c>
      <c r="H28" s="42"/>
    </row>
    <row r="29" spans="7:9" ht="16.5">
      <c r="G29" s="116" t="s">
        <v>13</v>
      </c>
      <c r="H29" s="116" t="s">
        <v>13</v>
      </c>
      <c r="I29" s="116" t="s">
        <v>13</v>
      </c>
    </row>
    <row r="30" spans="5:11" ht="16.5">
      <c r="E30" s="35" t="s">
        <v>13</v>
      </c>
      <c r="G30" s="35" t="s">
        <v>13</v>
      </c>
      <c r="H30" s="35" t="s">
        <v>13</v>
      </c>
      <c r="I30" s="35" t="s">
        <v>13</v>
      </c>
      <c r="K30" s="113" t="s">
        <v>13</v>
      </c>
    </row>
    <row r="31" spans="1:8" ht="16.5">
      <c r="A31" s="141" t="s">
        <v>99</v>
      </c>
      <c r="B31" s="141"/>
      <c r="C31" s="141"/>
      <c r="D31" s="141"/>
      <c r="E31" s="141"/>
      <c r="F31" s="141"/>
      <c r="G31" s="141"/>
      <c r="H31" s="141"/>
    </row>
    <row r="32" spans="1:8" ht="16.5">
      <c r="A32" s="141"/>
      <c r="B32" s="141"/>
      <c r="C32" s="141"/>
      <c r="D32" s="141"/>
      <c r="E32" s="141"/>
      <c r="F32" s="141"/>
      <c r="G32" s="141"/>
      <c r="H32" s="141"/>
    </row>
    <row r="33" spans="1:8" ht="17.25" thickBot="1">
      <c r="A33" s="1"/>
      <c r="B33" s="2"/>
      <c r="C33" s="3"/>
      <c r="D33" s="16"/>
      <c r="E33" s="16"/>
      <c r="F33" s="16"/>
      <c r="G33" s="15"/>
      <c r="H33" s="15"/>
    </row>
    <row r="34" spans="1:9" ht="31.5" thickBot="1" thickTop="1">
      <c r="A34" s="5" t="s">
        <v>1</v>
      </c>
      <c r="B34" s="6" t="s">
        <v>34</v>
      </c>
      <c r="C34" s="7" t="s">
        <v>2</v>
      </c>
      <c r="D34" s="17" t="s">
        <v>3</v>
      </c>
      <c r="E34" s="17" t="s">
        <v>4</v>
      </c>
      <c r="F34" s="17" t="s">
        <v>5</v>
      </c>
      <c r="G34" s="17" t="s">
        <v>6</v>
      </c>
      <c r="H34" s="17" t="s">
        <v>94</v>
      </c>
      <c r="I34" s="17" t="s">
        <v>95</v>
      </c>
    </row>
    <row r="35" spans="1:9" ht="18" thickBot="1" thickTop="1">
      <c r="A35" s="11" t="s">
        <v>7</v>
      </c>
      <c r="B35" s="13" t="s">
        <v>35</v>
      </c>
      <c r="C35" s="45">
        <v>1</v>
      </c>
      <c r="D35" s="18">
        <f>E35+F35</f>
        <v>9000</v>
      </c>
      <c r="E35" s="18">
        <v>9000</v>
      </c>
      <c r="F35" s="18">
        <v>0</v>
      </c>
      <c r="G35" s="18">
        <f>E35+F35</f>
        <v>9000</v>
      </c>
      <c r="H35" s="18">
        <f>F35*80%</f>
        <v>0</v>
      </c>
      <c r="I35" s="18">
        <v>0</v>
      </c>
    </row>
    <row r="36" spans="1:9" ht="18" thickBot="1" thickTop="1">
      <c r="A36" s="19" t="s">
        <v>13</v>
      </c>
      <c r="B36" s="13"/>
      <c r="C36" s="45"/>
      <c r="D36" s="18">
        <f>E36+F36</f>
        <v>0</v>
      </c>
      <c r="E36" s="18">
        <v>0</v>
      </c>
      <c r="F36" s="18">
        <v>0</v>
      </c>
      <c r="G36" s="18">
        <f>E36+F36*20%</f>
        <v>0</v>
      </c>
      <c r="H36" s="18">
        <f>F36*80%</f>
        <v>0</v>
      </c>
      <c r="I36" s="18">
        <f>G36*80%</f>
        <v>0</v>
      </c>
    </row>
    <row r="37" spans="1:9" ht="18" thickBot="1" thickTop="1">
      <c r="A37" s="19" t="s">
        <v>13</v>
      </c>
      <c r="B37" s="13"/>
      <c r="C37" s="45"/>
      <c r="D37" s="18">
        <f>E37+F37</f>
        <v>0</v>
      </c>
      <c r="E37" s="18">
        <v>0</v>
      </c>
      <c r="F37" s="18">
        <v>0</v>
      </c>
      <c r="G37" s="18">
        <f>E37+F37*20%</f>
        <v>0</v>
      </c>
      <c r="H37" s="18">
        <f>F37*80%</f>
        <v>0</v>
      </c>
      <c r="I37" s="18">
        <f>G37*80%</f>
        <v>0</v>
      </c>
    </row>
    <row r="38" spans="1:9" ht="18" thickBot="1" thickTop="1">
      <c r="A38" s="19" t="s">
        <v>13</v>
      </c>
      <c r="B38" s="13"/>
      <c r="C38" s="45"/>
      <c r="D38" s="18">
        <f>E38+F38</f>
        <v>0</v>
      </c>
      <c r="E38" s="18">
        <v>0</v>
      </c>
      <c r="F38" s="18">
        <v>0</v>
      </c>
      <c r="G38" s="18">
        <f>E38+F38*20%</f>
        <v>0</v>
      </c>
      <c r="H38" s="18">
        <f>F38*80%</f>
        <v>0</v>
      </c>
      <c r="I38" s="18">
        <f>G38*80%</f>
        <v>0</v>
      </c>
    </row>
    <row r="39" spans="1:9" ht="18" thickBot="1" thickTop="1">
      <c r="A39" s="20" t="s">
        <v>8</v>
      </c>
      <c r="B39" s="9"/>
      <c r="C39" s="21"/>
      <c r="D39" s="22">
        <f>SUM(D35:D36)</f>
        <v>9000</v>
      </c>
      <c r="E39" s="22">
        <f>SUM(E35:E38)</f>
        <v>9000</v>
      </c>
      <c r="F39" s="22">
        <f>SUM(F35:F38)</f>
        <v>0</v>
      </c>
      <c r="G39" s="22">
        <f>SUM(G35:G38)</f>
        <v>9000</v>
      </c>
      <c r="H39" s="22">
        <f>SUM(H35:H38)</f>
        <v>0</v>
      </c>
      <c r="I39" s="22">
        <f>SUM(I35:I38)</f>
        <v>0</v>
      </c>
    </row>
    <row r="40" spans="1:9" ht="47.25" thickBot="1" thickTop="1">
      <c r="A40" s="46" t="s">
        <v>36</v>
      </c>
      <c r="B40" s="13" t="s">
        <v>35</v>
      </c>
      <c r="C40" s="45">
        <v>1</v>
      </c>
      <c r="D40" s="18">
        <f>E40+F40</f>
        <v>0</v>
      </c>
      <c r="E40" s="18">
        <v>0</v>
      </c>
      <c r="F40" s="18">
        <v>0</v>
      </c>
      <c r="G40" s="18">
        <f>E40+F40*20%</f>
        <v>0</v>
      </c>
      <c r="H40" s="18">
        <f>F40*70%</f>
        <v>0</v>
      </c>
      <c r="I40" s="18">
        <f>F40*10%</f>
        <v>0</v>
      </c>
    </row>
    <row r="41" spans="1:9" ht="18" thickBot="1" thickTop="1">
      <c r="A41" s="11" t="s">
        <v>40</v>
      </c>
      <c r="B41" s="13" t="s">
        <v>35</v>
      </c>
      <c r="C41" s="45">
        <v>1</v>
      </c>
      <c r="D41" s="18">
        <f aca="true" t="shared" si="4" ref="D41:D46">E41+F41</f>
        <v>0</v>
      </c>
      <c r="E41" s="18">
        <v>0</v>
      </c>
      <c r="F41" s="18">
        <v>0</v>
      </c>
      <c r="G41" s="18">
        <f>E41+F41*20%</f>
        <v>0</v>
      </c>
      <c r="H41" s="18">
        <f>F41*70%</f>
        <v>0</v>
      </c>
      <c r="I41" s="18">
        <f>F41*10%</f>
        <v>0</v>
      </c>
    </row>
    <row r="42" spans="1:9" ht="18" thickBot="1" thickTop="1">
      <c r="A42" s="11" t="s">
        <v>13</v>
      </c>
      <c r="B42" s="13" t="s">
        <v>13</v>
      </c>
      <c r="C42" s="45" t="s">
        <v>13</v>
      </c>
      <c r="D42" s="18">
        <f t="shared" si="4"/>
        <v>0</v>
      </c>
      <c r="E42" s="18">
        <v>0</v>
      </c>
      <c r="F42" s="18">
        <v>0</v>
      </c>
      <c r="G42" s="18">
        <f aca="true" t="shared" si="5" ref="G42:G47">E42+F42*20%</f>
        <v>0</v>
      </c>
      <c r="H42" s="18">
        <f aca="true" t="shared" si="6" ref="H42:H47">F42*80%</f>
        <v>0</v>
      </c>
      <c r="I42" s="18">
        <f>G42*70%</f>
        <v>0</v>
      </c>
    </row>
    <row r="43" spans="1:9" ht="18" thickBot="1" thickTop="1">
      <c r="A43" s="11" t="s">
        <v>13</v>
      </c>
      <c r="B43" s="13"/>
      <c r="C43" s="45"/>
      <c r="D43" s="18">
        <f t="shared" si="4"/>
        <v>0</v>
      </c>
      <c r="E43" s="18">
        <v>0</v>
      </c>
      <c r="F43" s="18">
        <v>0</v>
      </c>
      <c r="G43" s="18">
        <f t="shared" si="5"/>
        <v>0</v>
      </c>
      <c r="H43" s="18">
        <f t="shared" si="6"/>
        <v>0</v>
      </c>
      <c r="I43" s="18">
        <f>G43*80%</f>
        <v>0</v>
      </c>
    </row>
    <row r="44" spans="1:9" ht="18" thickBot="1" thickTop="1">
      <c r="A44" s="11" t="s">
        <v>13</v>
      </c>
      <c r="B44" s="13"/>
      <c r="C44" s="45"/>
      <c r="D44" s="18">
        <f t="shared" si="4"/>
        <v>0</v>
      </c>
      <c r="E44" s="18">
        <v>0</v>
      </c>
      <c r="F44" s="18">
        <v>0</v>
      </c>
      <c r="G44" s="18">
        <f t="shared" si="5"/>
        <v>0</v>
      </c>
      <c r="H44" s="18">
        <f t="shared" si="6"/>
        <v>0</v>
      </c>
      <c r="I44" s="18">
        <f>G44*80%</f>
        <v>0</v>
      </c>
    </row>
    <row r="45" spans="1:9" ht="18" thickBot="1" thickTop="1">
      <c r="A45" s="11" t="s">
        <v>13</v>
      </c>
      <c r="B45" s="13"/>
      <c r="C45" s="45"/>
      <c r="D45" s="18">
        <f t="shared" si="4"/>
        <v>0</v>
      </c>
      <c r="E45" s="18">
        <v>0</v>
      </c>
      <c r="F45" s="18">
        <v>0</v>
      </c>
      <c r="G45" s="18">
        <f t="shared" si="5"/>
        <v>0</v>
      </c>
      <c r="H45" s="18">
        <f t="shared" si="6"/>
        <v>0</v>
      </c>
      <c r="I45" s="18">
        <f>G45*80%</f>
        <v>0</v>
      </c>
    </row>
    <row r="46" spans="1:9" ht="18" thickBot="1" thickTop="1">
      <c r="A46" s="11" t="s">
        <v>13</v>
      </c>
      <c r="B46" s="13"/>
      <c r="C46" s="45"/>
      <c r="D46" s="18">
        <f t="shared" si="4"/>
        <v>0</v>
      </c>
      <c r="E46" s="18"/>
      <c r="F46" s="18">
        <v>0</v>
      </c>
      <c r="G46" s="18">
        <f t="shared" si="5"/>
        <v>0</v>
      </c>
      <c r="H46" s="18">
        <f t="shared" si="6"/>
        <v>0</v>
      </c>
      <c r="I46" s="18">
        <f>G46*80%</f>
        <v>0</v>
      </c>
    </row>
    <row r="47" spans="1:9" ht="18" thickBot="1" thickTop="1">
      <c r="A47" s="11" t="s">
        <v>13</v>
      </c>
      <c r="B47" s="13" t="s">
        <v>13</v>
      </c>
      <c r="C47" s="45" t="s">
        <v>13</v>
      </c>
      <c r="D47" s="18">
        <f>E47+F47</f>
        <v>0</v>
      </c>
      <c r="E47" s="18">
        <v>0</v>
      </c>
      <c r="F47" s="18">
        <v>0</v>
      </c>
      <c r="G47" s="18">
        <f t="shared" si="5"/>
        <v>0</v>
      </c>
      <c r="H47" s="18">
        <f t="shared" si="6"/>
        <v>0</v>
      </c>
      <c r="I47" s="18">
        <f>G47*80%</f>
        <v>0</v>
      </c>
    </row>
    <row r="48" spans="1:9" ht="18" thickBot="1" thickTop="1">
      <c r="A48" s="20" t="s">
        <v>9</v>
      </c>
      <c r="B48" s="23"/>
      <c r="C48" s="24"/>
      <c r="D48" s="22">
        <f aca="true" t="shared" si="7" ref="D48:I48">SUM(D40:D47)</f>
        <v>0</v>
      </c>
      <c r="E48" s="22">
        <f t="shared" si="7"/>
        <v>0</v>
      </c>
      <c r="F48" s="22">
        <f t="shared" si="7"/>
        <v>0</v>
      </c>
      <c r="G48" s="22">
        <f t="shared" si="7"/>
        <v>0</v>
      </c>
      <c r="H48" s="22">
        <f t="shared" si="7"/>
        <v>0</v>
      </c>
      <c r="I48" s="22">
        <f t="shared" si="7"/>
        <v>0</v>
      </c>
    </row>
    <row r="49" spans="1:9" ht="18" thickBot="1" thickTop="1">
      <c r="A49" s="19" t="s">
        <v>69</v>
      </c>
      <c r="B49" s="39" t="s">
        <v>35</v>
      </c>
      <c r="C49" s="47">
        <v>1</v>
      </c>
      <c r="D49" s="18">
        <f>E49+F49</f>
        <v>5000</v>
      </c>
      <c r="E49" s="40">
        <v>0</v>
      </c>
      <c r="F49" s="40">
        <v>5000</v>
      </c>
      <c r="G49" s="18">
        <f>E49+F49*20%</f>
        <v>1000</v>
      </c>
      <c r="H49" s="18">
        <f>F49*70%</f>
        <v>3500</v>
      </c>
      <c r="I49" s="18">
        <f>F49*10%</f>
        <v>500</v>
      </c>
    </row>
    <row r="50" spans="1:9" ht="18" thickBot="1" thickTop="1">
      <c r="A50" s="11" t="s">
        <v>37</v>
      </c>
      <c r="B50" s="25" t="s">
        <v>35</v>
      </c>
      <c r="C50" s="48">
        <v>1</v>
      </c>
      <c r="D50" s="18">
        <f>E50+F50</f>
        <v>0</v>
      </c>
      <c r="E50" s="18">
        <v>0</v>
      </c>
      <c r="F50" s="18">
        <v>0</v>
      </c>
      <c r="G50" s="18">
        <f>E50+F50*20%</f>
        <v>0</v>
      </c>
      <c r="H50" s="18">
        <f>F50*70%</f>
        <v>0</v>
      </c>
      <c r="I50" s="18">
        <v>0</v>
      </c>
    </row>
    <row r="51" spans="1:9" ht="18" thickBot="1" thickTop="1">
      <c r="A51" s="11" t="s">
        <v>38</v>
      </c>
      <c r="B51" s="25" t="s">
        <v>35</v>
      </c>
      <c r="C51" s="48">
        <v>1</v>
      </c>
      <c r="D51" s="18">
        <f>E51+F51</f>
        <v>0</v>
      </c>
      <c r="E51" s="18">
        <v>0</v>
      </c>
      <c r="F51" s="18">
        <v>0</v>
      </c>
      <c r="G51" s="18">
        <f>E51+F51*20%</f>
        <v>0</v>
      </c>
      <c r="H51" s="18">
        <f>F51*70%</f>
        <v>0</v>
      </c>
      <c r="I51" s="18">
        <f>F51*10%</f>
        <v>0</v>
      </c>
    </row>
    <row r="52" spans="1:9" ht="18" thickBot="1" thickTop="1">
      <c r="A52" s="11" t="s">
        <v>39</v>
      </c>
      <c r="B52" s="25" t="s">
        <v>35</v>
      </c>
      <c r="C52" s="48">
        <v>1</v>
      </c>
      <c r="D52" s="18">
        <f>E52+F52</f>
        <v>0</v>
      </c>
      <c r="E52" s="18">
        <v>0</v>
      </c>
      <c r="F52" s="18">
        <v>0</v>
      </c>
      <c r="G52" s="18">
        <f>E52+F52*20%</f>
        <v>0</v>
      </c>
      <c r="H52" s="18">
        <f>F52*70%</f>
        <v>0</v>
      </c>
      <c r="I52" s="18">
        <v>0</v>
      </c>
    </row>
    <row r="53" spans="1:9" ht="18" thickBot="1" thickTop="1">
      <c r="A53" s="20" t="s">
        <v>10</v>
      </c>
      <c r="B53" s="23"/>
      <c r="C53" s="24"/>
      <c r="D53" s="26">
        <f>SUM(D49:D52)</f>
        <v>5000</v>
      </c>
      <c r="E53" s="26">
        <f>SUM(E49:E52)</f>
        <v>0</v>
      </c>
      <c r="F53" s="26">
        <f>SUM(F49:F52)</f>
        <v>5000</v>
      </c>
      <c r="G53" s="26">
        <f>G49+G51</f>
        <v>1000</v>
      </c>
      <c r="H53" s="26">
        <f>SUM(H49:H52)</f>
        <v>3500</v>
      </c>
      <c r="I53" s="26">
        <f>SUM(I49:I52)</f>
        <v>500</v>
      </c>
    </row>
    <row r="54" spans="1:9" ht="18" thickBot="1" thickTop="1">
      <c r="A54" s="11" t="s">
        <v>3</v>
      </c>
      <c r="B54" s="142"/>
      <c r="C54" s="143"/>
      <c r="D54" s="29">
        <f>SUM(D53,D48,D39)</f>
        <v>14000</v>
      </c>
      <c r="E54" s="30">
        <f>SUM(E53,E48,E39)</f>
        <v>9000</v>
      </c>
      <c r="F54" s="30">
        <f>SUM(F53,F48,F39)</f>
        <v>5000</v>
      </c>
      <c r="G54" s="30">
        <f>G48+G53</f>
        <v>1000</v>
      </c>
      <c r="H54" s="30">
        <f>SUM(H53,H48,H39)</f>
        <v>3500</v>
      </c>
      <c r="I54" s="30">
        <f>SUM(I53,I48,I39)</f>
        <v>500</v>
      </c>
    </row>
    <row r="55" spans="1:9" ht="18" thickBot="1" thickTop="1">
      <c r="A55" s="11" t="s">
        <v>11</v>
      </c>
      <c r="B55" s="27"/>
      <c r="C55" s="28"/>
      <c r="D55" s="31"/>
      <c r="E55" s="32"/>
      <c r="F55" s="32"/>
      <c r="G55" s="32">
        <f>G54/F54</f>
        <v>0.2</v>
      </c>
      <c r="H55" s="37">
        <f>H54/F54</f>
        <v>0.7</v>
      </c>
      <c r="I55" s="37">
        <f>I54/F54</f>
        <v>0.1</v>
      </c>
    </row>
    <row r="56" spans="1:9" ht="18" thickBot="1" thickTop="1">
      <c r="A56" s="11" t="s">
        <v>12</v>
      </c>
      <c r="B56" s="142"/>
      <c r="C56" s="143"/>
      <c r="D56" s="33">
        <v>1</v>
      </c>
      <c r="E56" s="33">
        <f>E54/D54</f>
        <v>0.6428571428571429</v>
      </c>
      <c r="F56" s="33">
        <f>F54/D54</f>
        <v>0.35714285714285715</v>
      </c>
      <c r="G56" s="33">
        <f>G54/D54</f>
        <v>0.07142857142857142</v>
      </c>
      <c r="H56" s="33">
        <f>H54/D54</f>
        <v>0.25</v>
      </c>
      <c r="I56" s="33">
        <f>I54/E54</f>
        <v>0.05555555555555555</v>
      </c>
    </row>
    <row r="57" ht="17.25" thickTop="1"/>
    <row r="59" spans="1:8" ht="16.5">
      <c r="A59" s="141" t="s">
        <v>100</v>
      </c>
      <c r="B59" s="141"/>
      <c r="C59" s="141"/>
      <c r="D59" s="141"/>
      <c r="E59" s="141"/>
      <c r="F59" s="141"/>
      <c r="G59" s="141"/>
      <c r="H59" s="141"/>
    </row>
    <row r="60" spans="1:8" ht="16.5">
      <c r="A60" s="141"/>
      <c r="B60" s="141"/>
      <c r="C60" s="141"/>
      <c r="D60" s="141"/>
      <c r="E60" s="141"/>
      <c r="F60" s="141"/>
      <c r="G60" s="141"/>
      <c r="H60" s="141"/>
    </row>
    <row r="61" spans="1:8" ht="17.25" thickBot="1">
      <c r="A61" s="1"/>
      <c r="B61" s="2"/>
      <c r="C61" s="3"/>
      <c r="D61" s="16"/>
      <c r="E61" s="16"/>
      <c r="F61" s="16"/>
      <c r="G61" s="15"/>
      <c r="H61" s="15"/>
    </row>
    <row r="62" spans="1:9" ht="31.5" thickBot="1" thickTop="1">
      <c r="A62" s="5" t="s">
        <v>1</v>
      </c>
      <c r="B62" s="6" t="s">
        <v>34</v>
      </c>
      <c r="C62" s="7" t="s">
        <v>2</v>
      </c>
      <c r="D62" s="17" t="s">
        <v>3</v>
      </c>
      <c r="E62" s="17" t="s">
        <v>4</v>
      </c>
      <c r="F62" s="17" t="s">
        <v>5</v>
      </c>
      <c r="G62" s="17" t="s">
        <v>6</v>
      </c>
      <c r="H62" s="17" t="s">
        <v>94</v>
      </c>
      <c r="I62" s="17" t="s">
        <v>95</v>
      </c>
    </row>
    <row r="63" spans="1:9" ht="18" thickBot="1" thickTop="1">
      <c r="A63" s="11" t="s">
        <v>7</v>
      </c>
      <c r="B63" s="13" t="s">
        <v>35</v>
      </c>
      <c r="C63" s="45">
        <v>1</v>
      </c>
      <c r="D63" s="18">
        <f>E63+F63</f>
        <v>0</v>
      </c>
      <c r="E63" s="18">
        <f>E6-E35</f>
        <v>0</v>
      </c>
      <c r="F63" s="18">
        <v>0</v>
      </c>
      <c r="G63" s="18">
        <f>E63+F63</f>
        <v>0</v>
      </c>
      <c r="H63" s="18">
        <f>F63*80%</f>
        <v>0</v>
      </c>
      <c r="I63" s="18">
        <v>0</v>
      </c>
    </row>
    <row r="64" spans="1:9" ht="18" thickBot="1" thickTop="1">
      <c r="A64" s="19" t="s">
        <v>13</v>
      </c>
      <c r="B64" s="13"/>
      <c r="C64" s="45"/>
      <c r="D64" s="18">
        <f>E64+F64</f>
        <v>0</v>
      </c>
      <c r="E64" s="18">
        <v>0</v>
      </c>
      <c r="F64" s="18">
        <v>0</v>
      </c>
      <c r="G64" s="18">
        <f>E64+F64*20%</f>
        <v>0</v>
      </c>
      <c r="H64" s="18">
        <f>F64*80%</f>
        <v>0</v>
      </c>
      <c r="I64" s="18">
        <f>G64*80%</f>
        <v>0</v>
      </c>
    </row>
    <row r="65" spans="1:9" ht="18" thickBot="1" thickTop="1">
      <c r="A65" s="19" t="s">
        <v>13</v>
      </c>
      <c r="B65" s="13"/>
      <c r="C65" s="45"/>
      <c r="D65" s="18">
        <f>E65+F65</f>
        <v>0</v>
      </c>
      <c r="E65" s="18">
        <v>0</v>
      </c>
      <c r="F65" s="18">
        <v>0</v>
      </c>
      <c r="G65" s="18">
        <f>E65+F65*20%</f>
        <v>0</v>
      </c>
      <c r="H65" s="18">
        <f>F65*80%</f>
        <v>0</v>
      </c>
      <c r="I65" s="18">
        <f>G65*80%</f>
        <v>0</v>
      </c>
    </row>
    <row r="66" spans="1:9" ht="18" thickBot="1" thickTop="1">
      <c r="A66" s="19" t="s">
        <v>13</v>
      </c>
      <c r="B66" s="13"/>
      <c r="C66" s="45"/>
      <c r="D66" s="18">
        <f>E66+F66</f>
        <v>0</v>
      </c>
      <c r="E66" s="18">
        <v>0</v>
      </c>
      <c r="F66" s="18">
        <v>0</v>
      </c>
      <c r="G66" s="18">
        <f>E66+F66*20%</f>
        <v>0</v>
      </c>
      <c r="H66" s="18">
        <f>F66*80%</f>
        <v>0</v>
      </c>
      <c r="I66" s="18">
        <f>G66*80%</f>
        <v>0</v>
      </c>
    </row>
    <row r="67" spans="1:9" ht="18" thickBot="1" thickTop="1">
      <c r="A67" s="20" t="s">
        <v>8</v>
      </c>
      <c r="B67" s="9"/>
      <c r="C67" s="21"/>
      <c r="D67" s="22">
        <f>SUM(D63:D64)</f>
        <v>0</v>
      </c>
      <c r="E67" s="22">
        <f>SUM(E63:E66)</f>
        <v>0</v>
      </c>
      <c r="F67" s="22">
        <f>SUM(F63:F66)</f>
        <v>0</v>
      </c>
      <c r="G67" s="22">
        <f>SUM(G63:G66)</f>
        <v>0</v>
      </c>
      <c r="H67" s="22">
        <f>SUM(H63:H66)</f>
        <v>0</v>
      </c>
      <c r="I67" s="22">
        <f>SUM(I63:I66)</f>
        <v>0</v>
      </c>
    </row>
    <row r="68" spans="1:9" ht="47.25" thickBot="1" thickTop="1">
      <c r="A68" s="46" t="s">
        <v>36</v>
      </c>
      <c r="B68" s="13" t="s">
        <v>35</v>
      </c>
      <c r="C68" s="45">
        <v>1</v>
      </c>
      <c r="D68" s="18">
        <f>E68+F68</f>
        <v>185619.16</v>
      </c>
      <c r="E68" s="18">
        <v>0</v>
      </c>
      <c r="F68" s="18">
        <v>185619.16</v>
      </c>
      <c r="G68" s="18">
        <f>E68+F68*20%</f>
        <v>37123.832</v>
      </c>
      <c r="H68" s="18">
        <f>F68*70%</f>
        <v>129933.412</v>
      </c>
      <c r="I68" s="18">
        <f>F68*10%</f>
        <v>18561.916</v>
      </c>
    </row>
    <row r="69" spans="1:9" ht="18" thickBot="1" thickTop="1">
      <c r="A69" s="11" t="s">
        <v>40</v>
      </c>
      <c r="B69" s="13" t="s">
        <v>35</v>
      </c>
      <c r="C69" s="45">
        <v>1</v>
      </c>
      <c r="D69" s="18">
        <f aca="true" t="shared" si="8" ref="D69:D74">E69+F69</f>
        <v>2000</v>
      </c>
      <c r="E69" s="18">
        <v>0</v>
      </c>
      <c r="F69" s="18">
        <v>2000</v>
      </c>
      <c r="G69" s="18">
        <f>E69+F69*20%</f>
        <v>400</v>
      </c>
      <c r="H69" s="18">
        <f>F69*70%</f>
        <v>1400</v>
      </c>
      <c r="I69" s="18">
        <f>F69*10%</f>
        <v>200</v>
      </c>
    </row>
    <row r="70" spans="1:9" ht="18" thickBot="1" thickTop="1">
      <c r="A70" s="11" t="s">
        <v>13</v>
      </c>
      <c r="B70" s="13" t="s">
        <v>13</v>
      </c>
      <c r="C70" s="45" t="s">
        <v>13</v>
      </c>
      <c r="D70" s="18">
        <f t="shared" si="8"/>
        <v>0</v>
      </c>
      <c r="E70" s="18">
        <v>0</v>
      </c>
      <c r="F70" s="18">
        <v>0</v>
      </c>
      <c r="G70" s="18">
        <f aca="true" t="shared" si="9" ref="G70:G75">E70+F70*20%</f>
        <v>0</v>
      </c>
      <c r="H70" s="18">
        <f aca="true" t="shared" si="10" ref="H70:H75">F70*80%</f>
        <v>0</v>
      </c>
      <c r="I70" s="18">
        <f>G70*70%</f>
        <v>0</v>
      </c>
    </row>
    <row r="71" spans="1:9" ht="18" thickBot="1" thickTop="1">
      <c r="A71" s="11" t="s">
        <v>13</v>
      </c>
      <c r="B71" s="13"/>
      <c r="C71" s="45"/>
      <c r="D71" s="18">
        <f t="shared" si="8"/>
        <v>0</v>
      </c>
      <c r="E71" s="18">
        <v>0</v>
      </c>
      <c r="F71" s="18">
        <v>0</v>
      </c>
      <c r="G71" s="18">
        <f t="shared" si="9"/>
        <v>0</v>
      </c>
      <c r="H71" s="18">
        <f t="shared" si="10"/>
        <v>0</v>
      </c>
      <c r="I71" s="18">
        <f>G71*80%</f>
        <v>0</v>
      </c>
    </row>
    <row r="72" spans="1:9" ht="18" thickBot="1" thickTop="1">
      <c r="A72" s="11" t="s">
        <v>13</v>
      </c>
      <c r="B72" s="13"/>
      <c r="C72" s="45"/>
      <c r="D72" s="18">
        <f t="shared" si="8"/>
        <v>0</v>
      </c>
      <c r="E72" s="18">
        <v>0</v>
      </c>
      <c r="F72" s="18">
        <v>0</v>
      </c>
      <c r="G72" s="18">
        <f t="shared" si="9"/>
        <v>0</v>
      </c>
      <c r="H72" s="18">
        <f t="shared" si="10"/>
        <v>0</v>
      </c>
      <c r="I72" s="18">
        <f>G72*80%</f>
        <v>0</v>
      </c>
    </row>
    <row r="73" spans="1:9" ht="18" thickBot="1" thickTop="1">
      <c r="A73" s="11" t="s">
        <v>13</v>
      </c>
      <c r="B73" s="13"/>
      <c r="C73" s="45"/>
      <c r="D73" s="18">
        <f t="shared" si="8"/>
        <v>0</v>
      </c>
      <c r="E73" s="18">
        <v>0</v>
      </c>
      <c r="F73" s="18">
        <v>0</v>
      </c>
      <c r="G73" s="18">
        <f t="shared" si="9"/>
        <v>0</v>
      </c>
      <c r="H73" s="18">
        <f t="shared" si="10"/>
        <v>0</v>
      </c>
      <c r="I73" s="18">
        <f>G73*80%</f>
        <v>0</v>
      </c>
    </row>
    <row r="74" spans="1:9" ht="18" thickBot="1" thickTop="1">
      <c r="A74" s="11" t="s">
        <v>13</v>
      </c>
      <c r="B74" s="13"/>
      <c r="C74" s="45"/>
      <c r="D74" s="18">
        <f t="shared" si="8"/>
        <v>0</v>
      </c>
      <c r="E74" s="18"/>
      <c r="F74" s="18">
        <v>0</v>
      </c>
      <c r="G74" s="18">
        <f t="shared" si="9"/>
        <v>0</v>
      </c>
      <c r="H74" s="18">
        <f t="shared" si="10"/>
        <v>0</v>
      </c>
      <c r="I74" s="18">
        <f>G74*80%</f>
        <v>0</v>
      </c>
    </row>
    <row r="75" spans="1:9" ht="18" thickBot="1" thickTop="1">
      <c r="A75" s="11" t="s">
        <v>13</v>
      </c>
      <c r="B75" s="13" t="s">
        <v>13</v>
      </c>
      <c r="C75" s="45" t="s">
        <v>13</v>
      </c>
      <c r="D75" s="18">
        <f>E75+F75</f>
        <v>0</v>
      </c>
      <c r="E75" s="18">
        <v>0</v>
      </c>
      <c r="F75" s="18">
        <v>0</v>
      </c>
      <c r="G75" s="18">
        <f t="shared" si="9"/>
        <v>0</v>
      </c>
      <c r="H75" s="18">
        <f t="shared" si="10"/>
        <v>0</v>
      </c>
      <c r="I75" s="18">
        <f>G75*80%</f>
        <v>0</v>
      </c>
    </row>
    <row r="76" spans="1:9" ht="18" thickBot="1" thickTop="1">
      <c r="A76" s="20" t="s">
        <v>9</v>
      </c>
      <c r="B76" s="23"/>
      <c r="C76" s="24"/>
      <c r="D76" s="22">
        <f aca="true" t="shared" si="11" ref="D76:I76">SUM(D68:D75)</f>
        <v>187619.16</v>
      </c>
      <c r="E76" s="22">
        <f t="shared" si="11"/>
        <v>0</v>
      </c>
      <c r="F76" s="22">
        <f t="shared" si="11"/>
        <v>187619.16</v>
      </c>
      <c r="G76" s="22">
        <f t="shared" si="11"/>
        <v>37523.832</v>
      </c>
      <c r="H76" s="22">
        <f t="shared" si="11"/>
        <v>131333.412</v>
      </c>
      <c r="I76" s="22">
        <f t="shared" si="11"/>
        <v>18761.916</v>
      </c>
    </row>
    <row r="77" spans="1:9" ht="18" thickBot="1" thickTop="1">
      <c r="A77" s="19" t="s">
        <v>69</v>
      </c>
      <c r="B77" s="39" t="s">
        <v>35</v>
      </c>
      <c r="C77" s="47">
        <v>1</v>
      </c>
      <c r="D77" s="18">
        <f>E77+F77</f>
        <v>0</v>
      </c>
      <c r="E77" s="40">
        <v>0</v>
      </c>
      <c r="F77" s="40">
        <v>0</v>
      </c>
      <c r="G77" s="18">
        <f>E77+F77*20%</f>
        <v>0</v>
      </c>
      <c r="H77" s="18">
        <f>F77*70%</f>
        <v>0</v>
      </c>
      <c r="I77" s="18">
        <f>F77*10%</f>
        <v>0</v>
      </c>
    </row>
    <row r="78" spans="1:9" ht="18" thickBot="1" thickTop="1">
      <c r="A78" s="11" t="s">
        <v>37</v>
      </c>
      <c r="B78" s="25" t="s">
        <v>35</v>
      </c>
      <c r="C78" s="48">
        <v>1</v>
      </c>
      <c r="D78" s="18">
        <f>E78+F78</f>
        <v>2000</v>
      </c>
      <c r="E78" s="18">
        <v>2000</v>
      </c>
      <c r="F78" s="18">
        <v>0</v>
      </c>
      <c r="G78" s="18">
        <f>E78+F78*20%</f>
        <v>2000</v>
      </c>
      <c r="H78" s="18">
        <f>F78*70%</f>
        <v>0</v>
      </c>
      <c r="I78" s="18">
        <v>0</v>
      </c>
    </row>
    <row r="79" spans="1:9" ht="18" thickBot="1" thickTop="1">
      <c r="A79" s="11" t="s">
        <v>38</v>
      </c>
      <c r="B79" s="25" t="s">
        <v>35</v>
      </c>
      <c r="C79" s="48">
        <v>1</v>
      </c>
      <c r="D79" s="18">
        <f>E79+F79</f>
        <v>4000</v>
      </c>
      <c r="E79" s="18">
        <v>0</v>
      </c>
      <c r="F79" s="18">
        <v>4000</v>
      </c>
      <c r="G79" s="18">
        <f>E79+F79*20%</f>
        <v>800</v>
      </c>
      <c r="H79" s="18">
        <f>F79*70%</f>
        <v>2800</v>
      </c>
      <c r="I79" s="18">
        <f>F79*10%</f>
        <v>400</v>
      </c>
    </row>
    <row r="80" spans="1:9" ht="18" thickBot="1" thickTop="1">
      <c r="A80" s="11" t="s">
        <v>39</v>
      </c>
      <c r="B80" s="25" t="s">
        <v>35</v>
      </c>
      <c r="C80" s="48">
        <v>1</v>
      </c>
      <c r="D80" s="18">
        <f>E80+F80</f>
        <v>2000</v>
      </c>
      <c r="E80" s="18">
        <v>2000</v>
      </c>
      <c r="F80" s="18">
        <v>0</v>
      </c>
      <c r="G80" s="18">
        <f>E80+F80*20%</f>
        <v>2000</v>
      </c>
      <c r="H80" s="18">
        <f>F80*70%</f>
        <v>0</v>
      </c>
      <c r="I80" s="18">
        <v>0</v>
      </c>
    </row>
    <row r="81" spans="1:9" ht="18" thickBot="1" thickTop="1">
      <c r="A81" s="20" t="s">
        <v>10</v>
      </c>
      <c r="B81" s="23"/>
      <c r="C81" s="24"/>
      <c r="D81" s="26">
        <f aca="true" t="shared" si="12" ref="D81:I81">SUM(D77:D80)</f>
        <v>8000</v>
      </c>
      <c r="E81" s="26">
        <f t="shared" si="12"/>
        <v>4000</v>
      </c>
      <c r="F81" s="26">
        <f t="shared" si="12"/>
        <v>4000</v>
      </c>
      <c r="G81" s="26">
        <f t="shared" si="12"/>
        <v>4800</v>
      </c>
      <c r="H81" s="26">
        <f t="shared" si="12"/>
        <v>2800</v>
      </c>
      <c r="I81" s="26">
        <f t="shared" si="12"/>
        <v>400</v>
      </c>
    </row>
    <row r="82" spans="1:9" ht="18" thickBot="1" thickTop="1">
      <c r="A82" s="11" t="s">
        <v>3</v>
      </c>
      <c r="B82" s="142"/>
      <c r="C82" s="143"/>
      <c r="D82" s="29">
        <f>SUM(D81,D76,D67)</f>
        <v>195619.16</v>
      </c>
      <c r="E82" s="30">
        <f>SUM(E81,E76,E67)</f>
        <v>4000</v>
      </c>
      <c r="F82" s="30">
        <f>SUM(F81,F76,F67)</f>
        <v>191619.16</v>
      </c>
      <c r="G82" s="30">
        <f>G81+G76+G67</f>
        <v>42323.832</v>
      </c>
      <c r="H82" s="30">
        <f>SUM(H81,H76,H67)</f>
        <v>134133.412</v>
      </c>
      <c r="I82" s="30">
        <f>SUM(I81,I76,I67)</f>
        <v>19161.916</v>
      </c>
    </row>
    <row r="83" spans="1:9" ht="18" thickBot="1" thickTop="1">
      <c r="A83" s="11" t="s">
        <v>11</v>
      </c>
      <c r="B83" s="27"/>
      <c r="C83" s="28"/>
      <c r="D83" s="31"/>
      <c r="E83" s="32"/>
      <c r="F83" s="32"/>
      <c r="G83" s="119">
        <f>G82/F82</f>
        <v>0.22087473924841336</v>
      </c>
      <c r="H83" s="118">
        <f>H82/F82</f>
        <v>0.7000000000000001</v>
      </c>
      <c r="I83" s="117">
        <f>I82/F82</f>
        <v>0.1</v>
      </c>
    </row>
    <row r="84" spans="1:9" ht="18" thickBot="1" thickTop="1">
      <c r="A84" s="11" t="s">
        <v>12</v>
      </c>
      <c r="B84" s="142"/>
      <c r="C84" s="143"/>
      <c r="D84" s="33">
        <v>1</v>
      </c>
      <c r="E84" s="33">
        <f>E82/D82</f>
        <v>0.02044789477676931</v>
      </c>
      <c r="F84" s="33">
        <f>F82/D82</f>
        <v>0.9795521052232307</v>
      </c>
      <c r="G84" s="33">
        <f>G82/D82</f>
        <v>0.21635831582141546</v>
      </c>
      <c r="H84" s="33">
        <f>H82/D82</f>
        <v>0.6856864736562616</v>
      </c>
      <c r="I84" s="33">
        <f>I82/E82</f>
        <v>4.790479</v>
      </c>
    </row>
    <row r="85" ht="17.25" thickTop="1"/>
    <row r="87" ht="16.5">
      <c r="G87" s="35" t="s">
        <v>13</v>
      </c>
    </row>
    <row r="88" ht="16.5">
      <c r="G88" s="35" t="s">
        <v>13</v>
      </c>
    </row>
    <row r="89" ht="16.5">
      <c r="G89" s="35" t="s">
        <v>13</v>
      </c>
    </row>
  </sheetData>
  <mergeCells count="9">
    <mergeCell ref="B84:C84"/>
    <mergeCell ref="B54:C54"/>
    <mergeCell ref="B56:C56"/>
    <mergeCell ref="A59:H60"/>
    <mergeCell ref="B82:C82"/>
    <mergeCell ref="A2:H3"/>
    <mergeCell ref="B25:C25"/>
    <mergeCell ref="B27:C27"/>
    <mergeCell ref="A31:H32"/>
  </mergeCells>
  <printOptions/>
  <pageMargins left="0.75" right="0.75" top="1" bottom="1" header="0.5" footer="0.5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4">
      <selection activeCell="K16" sqref="K16"/>
    </sheetView>
  </sheetViews>
  <sheetFormatPr defaultColWidth="9.00390625" defaultRowHeight="12.75"/>
  <cols>
    <col min="1" max="1" width="35.875" style="4" customWidth="1"/>
    <col min="2" max="2" width="9.875" style="10" customWidth="1"/>
    <col min="3" max="3" width="10.625" style="14" bestFit="1" customWidth="1"/>
    <col min="4" max="4" width="16.00390625" style="34" customWidth="1"/>
    <col min="5" max="5" width="16.00390625" style="34" bestFit="1" customWidth="1"/>
    <col min="6" max="6" width="15.125" style="34" bestFit="1" customWidth="1"/>
    <col min="7" max="7" width="16.00390625" style="34" bestFit="1" customWidth="1"/>
    <col min="8" max="8" width="15.625" style="34" bestFit="1" customWidth="1"/>
    <col min="9" max="9" width="9.75390625" style="4" customWidth="1"/>
    <col min="10" max="16384" width="11.375" style="4" customWidth="1"/>
  </cols>
  <sheetData>
    <row r="1" spans="1:8" ht="16.5">
      <c r="A1" s="1"/>
      <c r="B1" s="2"/>
      <c r="C1" s="3"/>
      <c r="D1" s="15"/>
      <c r="E1" s="15"/>
      <c r="F1" s="15"/>
      <c r="G1" s="15"/>
      <c r="H1" s="15"/>
    </row>
    <row r="2" spans="1:8" ht="16.5">
      <c r="A2" s="141" t="s">
        <v>0</v>
      </c>
      <c r="B2" s="141"/>
      <c r="C2" s="141"/>
      <c r="D2" s="141"/>
      <c r="E2" s="141"/>
      <c r="F2" s="141"/>
      <c r="G2" s="141"/>
      <c r="H2" s="141"/>
    </row>
    <row r="3" spans="1:8" ht="16.5">
      <c r="A3" s="141"/>
      <c r="B3" s="141"/>
      <c r="C3" s="141"/>
      <c r="D3" s="141"/>
      <c r="E3" s="141"/>
      <c r="F3" s="141"/>
      <c r="G3" s="141"/>
      <c r="H3" s="141"/>
    </row>
    <row r="4" spans="1:8" ht="17.25" thickBot="1">
      <c r="A4" s="1"/>
      <c r="B4" s="2"/>
      <c r="C4" s="3"/>
      <c r="D4" s="16"/>
      <c r="E4" s="16"/>
      <c r="F4" s="16"/>
      <c r="G4" s="15"/>
      <c r="H4" s="15"/>
    </row>
    <row r="5" spans="1:8" s="8" customFormat="1" ht="40.5" customHeight="1" thickBot="1" thickTop="1">
      <c r="A5" s="5" t="s">
        <v>1</v>
      </c>
      <c r="B5" s="6" t="s">
        <v>34</v>
      </c>
      <c r="C5" s="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41</v>
      </c>
    </row>
    <row r="6" spans="1:8" ht="18" thickBot="1" thickTop="1">
      <c r="A6" s="11" t="s">
        <v>43</v>
      </c>
      <c r="B6" s="13" t="s">
        <v>42</v>
      </c>
      <c r="C6" s="45">
        <v>1</v>
      </c>
      <c r="D6" s="18">
        <f>E6+F6</f>
        <v>640</v>
      </c>
      <c r="E6" s="18">
        <v>640</v>
      </c>
      <c r="F6" s="18">
        <v>0</v>
      </c>
      <c r="G6" s="18">
        <f>E6+F6*20%</f>
        <v>640</v>
      </c>
      <c r="H6" s="18">
        <f>F6*80%</f>
        <v>0</v>
      </c>
    </row>
    <row r="7" spans="1:8" ht="18" thickBot="1" thickTop="1">
      <c r="A7" s="19" t="s">
        <v>89</v>
      </c>
      <c r="B7" s="13" t="s">
        <v>42</v>
      </c>
      <c r="C7" s="45"/>
      <c r="D7" s="18">
        <f>E7+F7</f>
        <v>6000</v>
      </c>
      <c r="E7" s="18">
        <v>6000</v>
      </c>
      <c r="F7" s="18">
        <v>0</v>
      </c>
      <c r="G7" s="18">
        <f>E7+F7*20%</f>
        <v>6000</v>
      </c>
      <c r="H7" s="18">
        <f>F7*80%</f>
        <v>0</v>
      </c>
    </row>
    <row r="8" spans="1:8" ht="18" thickBot="1" thickTop="1">
      <c r="A8" s="19" t="s">
        <v>44</v>
      </c>
      <c r="B8" s="13" t="s">
        <v>42</v>
      </c>
      <c r="C8" s="45"/>
      <c r="D8" s="18">
        <f>E8+F8</f>
        <v>6500</v>
      </c>
      <c r="E8" s="18">
        <v>6500</v>
      </c>
      <c r="F8" s="18">
        <v>0</v>
      </c>
      <c r="G8" s="18">
        <f>E8+F8*20%</f>
        <v>6500</v>
      </c>
      <c r="H8" s="18">
        <f>F8*80%</f>
        <v>0</v>
      </c>
    </row>
    <row r="9" spans="1:8" ht="18" thickBot="1" thickTop="1">
      <c r="A9" s="19" t="s">
        <v>13</v>
      </c>
      <c r="B9" s="13"/>
      <c r="C9" s="45"/>
      <c r="D9" s="18">
        <f>E9+F9</f>
        <v>0</v>
      </c>
      <c r="E9" s="18">
        <v>0</v>
      </c>
      <c r="F9" s="18">
        <v>0</v>
      </c>
      <c r="G9" s="18">
        <f>E9+F9*20%</f>
        <v>0</v>
      </c>
      <c r="H9" s="18">
        <f>F9*80%</f>
        <v>0</v>
      </c>
    </row>
    <row r="10" spans="1:8" ht="18" thickBot="1" thickTop="1">
      <c r="A10" s="20" t="s">
        <v>8</v>
      </c>
      <c r="B10" s="9"/>
      <c r="C10" s="21"/>
      <c r="D10" s="22">
        <f>SUM(D6:D9)</f>
        <v>13140</v>
      </c>
      <c r="E10" s="22">
        <f>SUM(E6:E9)</f>
        <v>13140</v>
      </c>
      <c r="F10" s="22">
        <f>SUM(F6:F9)</f>
        <v>0</v>
      </c>
      <c r="G10" s="22">
        <f>SUM(G6:G9)</f>
        <v>13140</v>
      </c>
      <c r="H10" s="22">
        <f>SUM(H6:H9)</f>
        <v>0</v>
      </c>
    </row>
    <row r="11" spans="1:8" ht="18" thickBot="1" thickTop="1">
      <c r="A11" s="46" t="s">
        <v>90</v>
      </c>
      <c r="B11" s="13" t="s">
        <v>42</v>
      </c>
      <c r="C11" s="45">
        <v>1</v>
      </c>
      <c r="D11" s="18">
        <f>E11+F11</f>
        <v>19288.1</v>
      </c>
      <c r="E11" s="18">
        <v>0</v>
      </c>
      <c r="F11" s="18">
        <v>19288.1</v>
      </c>
      <c r="G11" s="18">
        <f>E11+F11*20%</f>
        <v>3857.62</v>
      </c>
      <c r="H11" s="18">
        <f>F11*80%</f>
        <v>15430.48</v>
      </c>
    </row>
    <row r="12" spans="1:8" ht="18" thickBot="1" thickTop="1">
      <c r="A12" s="11" t="s">
        <v>88</v>
      </c>
      <c r="B12" s="13" t="s">
        <v>42</v>
      </c>
      <c r="C12" s="45">
        <v>1</v>
      </c>
      <c r="D12" s="18">
        <f aca="true" t="shared" si="0" ref="D12:D17">E12+F12</f>
        <v>36526.31</v>
      </c>
      <c r="E12" s="18">
        <v>0</v>
      </c>
      <c r="F12" s="18">
        <v>36526.31</v>
      </c>
      <c r="G12" s="18">
        <f aca="true" t="shared" si="1" ref="G12:G18">E12+F12*20%</f>
        <v>7305.262</v>
      </c>
      <c r="H12" s="18">
        <f aca="true" t="shared" si="2" ref="H12:H18">F12*80%</f>
        <v>29221.048</v>
      </c>
    </row>
    <row r="13" spans="1:8" ht="18" thickBot="1" thickTop="1">
      <c r="A13" s="11" t="s">
        <v>45</v>
      </c>
      <c r="B13" s="13" t="s">
        <v>42</v>
      </c>
      <c r="C13" s="45">
        <v>1</v>
      </c>
      <c r="D13" s="18">
        <f t="shared" si="0"/>
        <v>109097.17</v>
      </c>
      <c r="E13" s="18">
        <v>0</v>
      </c>
      <c r="F13" s="18">
        <v>109097.17</v>
      </c>
      <c r="G13" s="18">
        <f t="shared" si="1"/>
        <v>21819.434</v>
      </c>
      <c r="H13" s="18">
        <f t="shared" si="2"/>
        <v>87277.736</v>
      </c>
    </row>
    <row r="14" spans="1:8" ht="18" thickBot="1" thickTop="1">
      <c r="A14" s="11" t="s">
        <v>46</v>
      </c>
      <c r="B14" s="13" t="s">
        <v>42</v>
      </c>
      <c r="C14" s="45">
        <v>1</v>
      </c>
      <c r="D14" s="18">
        <f t="shared" si="0"/>
        <v>12537.17</v>
      </c>
      <c r="E14" s="18">
        <v>0</v>
      </c>
      <c r="F14" s="18">
        <v>12537.17</v>
      </c>
      <c r="G14" s="18">
        <f t="shared" si="1"/>
        <v>2507.434</v>
      </c>
      <c r="H14" s="18">
        <f t="shared" si="2"/>
        <v>10029.736</v>
      </c>
    </row>
    <row r="15" spans="1:8" ht="18" thickBot="1" thickTop="1">
      <c r="A15" s="11" t="s">
        <v>47</v>
      </c>
      <c r="B15" s="13" t="s">
        <v>42</v>
      </c>
      <c r="C15" s="45">
        <v>1</v>
      </c>
      <c r="D15" s="18">
        <f t="shared" si="0"/>
        <v>2561.1</v>
      </c>
      <c r="E15" s="18">
        <v>0</v>
      </c>
      <c r="F15" s="18">
        <v>2561.1</v>
      </c>
      <c r="G15" s="18">
        <f t="shared" si="1"/>
        <v>512.22</v>
      </c>
      <c r="H15" s="18">
        <f t="shared" si="2"/>
        <v>2048.88</v>
      </c>
    </row>
    <row r="16" spans="1:8" ht="18" thickBot="1" thickTop="1">
      <c r="A16" s="11" t="s">
        <v>66</v>
      </c>
      <c r="B16" s="13" t="s">
        <v>42</v>
      </c>
      <c r="C16" s="45">
        <v>1</v>
      </c>
      <c r="D16" s="18">
        <f t="shared" si="0"/>
        <v>3000</v>
      </c>
      <c r="E16" s="18">
        <v>0</v>
      </c>
      <c r="F16" s="18">
        <v>3000</v>
      </c>
      <c r="G16" s="18">
        <f t="shared" si="1"/>
        <v>600</v>
      </c>
      <c r="H16" s="18">
        <f t="shared" si="2"/>
        <v>2400</v>
      </c>
    </row>
    <row r="17" spans="1:8" ht="18" thickBot="1" thickTop="1">
      <c r="A17" s="11" t="s">
        <v>13</v>
      </c>
      <c r="B17" s="13"/>
      <c r="C17" s="45"/>
      <c r="D17" s="18">
        <f t="shared" si="0"/>
        <v>0</v>
      </c>
      <c r="E17" s="18"/>
      <c r="F17" s="18">
        <v>0</v>
      </c>
      <c r="G17" s="18">
        <f t="shared" si="1"/>
        <v>0</v>
      </c>
      <c r="H17" s="18">
        <f t="shared" si="2"/>
        <v>0</v>
      </c>
    </row>
    <row r="18" spans="1:8" ht="18" thickBot="1" thickTop="1">
      <c r="A18" s="11" t="s">
        <v>13</v>
      </c>
      <c r="B18" s="13" t="s">
        <v>13</v>
      </c>
      <c r="C18" s="45" t="s">
        <v>13</v>
      </c>
      <c r="D18" s="18">
        <f>E18+F18</f>
        <v>0</v>
      </c>
      <c r="E18" s="18">
        <v>0</v>
      </c>
      <c r="F18" s="18">
        <v>0</v>
      </c>
      <c r="G18" s="18">
        <f t="shared" si="1"/>
        <v>0</v>
      </c>
      <c r="H18" s="18">
        <f t="shared" si="2"/>
        <v>0</v>
      </c>
    </row>
    <row r="19" spans="1:8" ht="18" thickBot="1" thickTop="1">
      <c r="A19" s="20" t="s">
        <v>9</v>
      </c>
      <c r="B19" s="23"/>
      <c r="C19" s="24"/>
      <c r="D19" s="22">
        <f>SUM(D11:D18)</f>
        <v>183009.85</v>
      </c>
      <c r="E19" s="22">
        <f>SUM(E11:E18)</f>
        <v>0</v>
      </c>
      <c r="F19" s="22">
        <f>SUM(F11:F18)</f>
        <v>183009.85</v>
      </c>
      <c r="G19" s="22">
        <f>SUM(G11:G18)</f>
        <v>36601.97</v>
      </c>
      <c r="H19" s="22">
        <f>SUM(H11:H18)</f>
        <v>146407.88</v>
      </c>
    </row>
    <row r="20" spans="1:8" ht="18" thickBot="1" thickTop="1">
      <c r="A20" s="19" t="s">
        <v>91</v>
      </c>
      <c r="B20" s="49" t="s">
        <v>42</v>
      </c>
      <c r="C20" s="50">
        <v>1</v>
      </c>
      <c r="D20" s="18">
        <f>E20+F20</f>
        <v>1500</v>
      </c>
      <c r="E20" s="40">
        <v>0</v>
      </c>
      <c r="F20" s="40">
        <v>1500</v>
      </c>
      <c r="G20" s="18">
        <f>E20+F20*20%</f>
        <v>300</v>
      </c>
      <c r="H20" s="18">
        <f>F20*80%</f>
        <v>1200</v>
      </c>
    </row>
    <row r="21" spans="1:8" ht="18" thickBot="1" thickTop="1">
      <c r="A21" s="11" t="s">
        <v>37</v>
      </c>
      <c r="B21" s="13" t="s">
        <v>42</v>
      </c>
      <c r="C21" s="45">
        <v>1</v>
      </c>
      <c r="D21" s="18">
        <f>E21+F21</f>
        <v>2500</v>
      </c>
      <c r="E21" s="18">
        <v>0</v>
      </c>
      <c r="F21" s="18">
        <v>2500</v>
      </c>
      <c r="G21" s="18">
        <f>E21+F21*20%</f>
        <v>500</v>
      </c>
      <c r="H21" s="18">
        <f>F21*80%</f>
        <v>2000</v>
      </c>
    </row>
    <row r="22" spans="1:8" ht="18" thickBot="1" thickTop="1">
      <c r="A22" s="11" t="s">
        <v>92</v>
      </c>
      <c r="B22" s="13" t="s">
        <v>42</v>
      </c>
      <c r="C22" s="45">
        <v>1</v>
      </c>
      <c r="D22" s="18">
        <f>E22+F22</f>
        <v>4000</v>
      </c>
      <c r="E22" s="18">
        <v>0</v>
      </c>
      <c r="F22" s="18">
        <v>4000</v>
      </c>
      <c r="G22" s="18">
        <f>E22+F22*20%</f>
        <v>800</v>
      </c>
      <c r="H22" s="18">
        <f>F22*80%</f>
        <v>3200</v>
      </c>
    </row>
    <row r="23" spans="1:8" ht="18" thickBot="1" thickTop="1">
      <c r="A23" s="11" t="s">
        <v>93</v>
      </c>
      <c r="B23" s="13" t="s">
        <v>42</v>
      </c>
      <c r="C23" s="45">
        <v>1</v>
      </c>
      <c r="D23" s="18">
        <f>E23+F23</f>
        <v>2500</v>
      </c>
      <c r="E23" s="18">
        <v>0</v>
      </c>
      <c r="F23" s="18">
        <v>2500</v>
      </c>
      <c r="G23" s="18">
        <f>E23+F23*20%</f>
        <v>500</v>
      </c>
      <c r="H23" s="18">
        <f>F23*80%</f>
        <v>2000</v>
      </c>
    </row>
    <row r="24" spans="1:8" ht="18" thickBot="1" thickTop="1">
      <c r="A24" s="20" t="s">
        <v>10</v>
      </c>
      <c r="B24" s="23"/>
      <c r="C24" s="24"/>
      <c r="D24" s="26">
        <f>SUM(D20:D23)</f>
        <v>10500</v>
      </c>
      <c r="E24" s="26">
        <f>SUM(E20:E23)</f>
        <v>0</v>
      </c>
      <c r="F24" s="26">
        <f>SUM(F20:F23)</f>
        <v>10500</v>
      </c>
      <c r="G24" s="26">
        <f>SUM(G20:G23)</f>
        <v>2100</v>
      </c>
      <c r="H24" s="26">
        <f>SUM(H20:H23)</f>
        <v>8400</v>
      </c>
    </row>
    <row r="25" spans="1:8" s="12" customFormat="1" ht="18" thickBot="1" thickTop="1">
      <c r="A25" s="11" t="s">
        <v>3</v>
      </c>
      <c r="B25" s="142"/>
      <c r="C25" s="143"/>
      <c r="D25" s="29">
        <f>SUM(D24,D19,D10)</f>
        <v>206649.85</v>
      </c>
      <c r="E25" s="30">
        <f>SUM(E24,E19,E10)</f>
        <v>13140</v>
      </c>
      <c r="F25" s="30">
        <f>SUM(F24,F19,F10)</f>
        <v>193509.85</v>
      </c>
      <c r="G25" s="30">
        <f>SUM(G24,G19,G10)+0.88</f>
        <v>51842.85</v>
      </c>
      <c r="H25" s="30">
        <f>SUM(H24,H19,H10)-0.88</f>
        <v>154807</v>
      </c>
    </row>
    <row r="26" spans="1:8" s="12" customFormat="1" ht="18" thickBot="1" thickTop="1">
      <c r="A26" s="11" t="s">
        <v>11</v>
      </c>
      <c r="B26" s="27"/>
      <c r="C26" s="28"/>
      <c r="D26" s="31"/>
      <c r="E26" s="32"/>
      <c r="F26" s="32"/>
      <c r="G26" s="32">
        <f>100%-(H26)</f>
        <v>0.20000454757212616</v>
      </c>
      <c r="H26" s="37">
        <f>H25/F25</f>
        <v>0.7999954524278738</v>
      </c>
    </row>
    <row r="27" spans="1:9" ht="18" thickBot="1" thickTop="1">
      <c r="A27" s="11" t="s">
        <v>12</v>
      </c>
      <c r="B27" s="142"/>
      <c r="C27" s="143"/>
      <c r="D27" s="33">
        <v>1</v>
      </c>
      <c r="E27" s="33">
        <f>E25/D25</f>
        <v>0.06358581920093337</v>
      </c>
      <c r="F27" s="33">
        <f>F25/D25</f>
        <v>0.9364141807990667</v>
      </c>
      <c r="G27" s="33">
        <f>G25/D25</f>
        <v>0.25087291377177384</v>
      </c>
      <c r="H27" s="33">
        <f>H25/D25</f>
        <v>0.7491270862282261</v>
      </c>
      <c r="I27" s="12" t="s">
        <v>13</v>
      </c>
    </row>
    <row r="28" spans="5:8" ht="17.25" thickTop="1">
      <c r="E28" s="41" t="s">
        <v>13</v>
      </c>
      <c r="F28" s="42"/>
      <c r="G28" s="41" t="s">
        <v>13</v>
      </c>
      <c r="H28" s="42"/>
    </row>
    <row r="29" ht="16.5">
      <c r="H29" s="38" t="s">
        <v>13</v>
      </c>
    </row>
    <row r="31" spans="1:6" ht="16.5">
      <c r="A31" s="12" t="s">
        <v>13</v>
      </c>
      <c r="F31" s="35" t="s">
        <v>13</v>
      </c>
    </row>
    <row r="32" ht="16.5">
      <c r="H32" s="35"/>
    </row>
    <row r="33" ht="16.5">
      <c r="D33" s="36"/>
    </row>
  </sheetData>
  <mergeCells count="3">
    <mergeCell ref="A2:H3"/>
    <mergeCell ref="B25:C25"/>
    <mergeCell ref="B27:C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:L51"/>
  <sheetViews>
    <sheetView workbookViewId="0" topLeftCell="A1">
      <selection activeCell="B26" sqref="B26"/>
    </sheetView>
  </sheetViews>
  <sheetFormatPr defaultColWidth="9.00390625" defaultRowHeight="12.75"/>
  <cols>
    <col min="6" max="6" width="12.25390625" style="0" bestFit="1" customWidth="1"/>
    <col min="7" max="7" width="15.00390625" style="0" bestFit="1" customWidth="1"/>
    <col min="8" max="8" width="12.25390625" style="0" bestFit="1" customWidth="1"/>
    <col min="10" max="11" width="13.375" style="0" bestFit="1" customWidth="1"/>
    <col min="12" max="12" width="11.25390625" style="0" bestFit="1" customWidth="1"/>
  </cols>
  <sheetData>
    <row r="5" spans="4:8" ht="12.75">
      <c r="D5" t="s">
        <v>101</v>
      </c>
      <c r="E5">
        <v>1</v>
      </c>
      <c r="F5">
        <v>60291.48</v>
      </c>
      <c r="G5" s="120">
        <f aca="true" t="shared" si="0" ref="G5:G15">F5*1.07</f>
        <v>64511.88360000001</v>
      </c>
      <c r="H5" s="120">
        <f aca="true" t="shared" si="1" ref="H5:H15">G5/E5</f>
        <v>64511.88360000001</v>
      </c>
    </row>
    <row r="6" spans="4:12" ht="12.75">
      <c r="D6">
        <v>160</v>
      </c>
      <c r="E6">
        <v>1302.3</v>
      </c>
      <c r="F6">
        <v>118943.83</v>
      </c>
      <c r="G6" s="120">
        <f t="shared" si="0"/>
        <v>127269.8981</v>
      </c>
      <c r="H6" s="120">
        <f t="shared" si="1"/>
        <v>97.72701996467788</v>
      </c>
      <c r="J6" s="121">
        <f>E7+E10+E13+E16+E19+E22+E25+E28+E31+E33+E36+E39+E42+E45+E48</f>
        <v>4108.1</v>
      </c>
      <c r="K6" s="121">
        <f>G7+G10+G13+G16+G19+G22+G25+G28+G31+G33+G36+G39+G42+G45+G48</f>
        <v>710686.1997</v>
      </c>
      <c r="L6" s="121">
        <f>K6/J6</f>
        <v>172.99632426182418</v>
      </c>
    </row>
    <row r="7" spans="4:8" ht="12.75">
      <c r="D7">
        <v>200</v>
      </c>
      <c r="E7">
        <v>349.3</v>
      </c>
      <c r="F7">
        <v>49430.04</v>
      </c>
      <c r="G7" s="120">
        <f t="shared" si="0"/>
        <v>52890.1428</v>
      </c>
      <c r="H7" s="120">
        <f t="shared" si="1"/>
        <v>151.41752877182938</v>
      </c>
    </row>
    <row r="8" spans="4:8" ht="12.75">
      <c r="D8" t="s">
        <v>102</v>
      </c>
      <c r="E8">
        <v>63.8</v>
      </c>
      <c r="F8">
        <v>12440.7</v>
      </c>
      <c r="G8" s="120">
        <f t="shared" si="0"/>
        <v>13311.549</v>
      </c>
      <c r="H8" s="120">
        <f t="shared" si="1"/>
        <v>208.64496865203765</v>
      </c>
    </row>
    <row r="9" spans="4:8" ht="12.75">
      <c r="D9" t="s">
        <v>103</v>
      </c>
      <c r="E9">
        <v>8</v>
      </c>
      <c r="F9">
        <v>688.59</v>
      </c>
      <c r="G9" s="120">
        <f t="shared" si="0"/>
        <v>736.7913000000001</v>
      </c>
      <c r="H9" s="120">
        <f t="shared" si="1"/>
        <v>92.09891250000001</v>
      </c>
    </row>
    <row r="10" spans="4:8" ht="12.75">
      <c r="D10">
        <v>200</v>
      </c>
      <c r="E10">
        <v>883.6</v>
      </c>
      <c r="F10">
        <v>141322.99</v>
      </c>
      <c r="G10" s="120">
        <f t="shared" si="0"/>
        <v>151215.5993</v>
      </c>
      <c r="H10" s="120">
        <f t="shared" si="1"/>
        <v>171.1358072657311</v>
      </c>
    </row>
    <row r="11" spans="4:8" ht="12.75">
      <c r="D11" t="s">
        <v>102</v>
      </c>
      <c r="E11">
        <v>399</v>
      </c>
      <c r="F11">
        <v>55418.14</v>
      </c>
      <c r="G11" s="120">
        <f t="shared" si="0"/>
        <v>59297.4098</v>
      </c>
      <c r="H11" s="120">
        <f t="shared" si="1"/>
        <v>148.61506215538847</v>
      </c>
    </row>
    <row r="12" spans="4:8" ht="12.75">
      <c r="D12" t="s">
        <v>103</v>
      </c>
      <c r="E12">
        <v>144.6</v>
      </c>
      <c r="F12">
        <v>9564.01</v>
      </c>
      <c r="G12" s="120">
        <f t="shared" si="0"/>
        <v>10233.4907</v>
      </c>
      <c r="H12" s="120">
        <f t="shared" si="1"/>
        <v>70.77102835408023</v>
      </c>
    </row>
    <row r="13" spans="4:8" ht="12.75">
      <c r="D13">
        <v>200</v>
      </c>
      <c r="E13">
        <v>39.3</v>
      </c>
      <c r="F13">
        <v>6496.7</v>
      </c>
      <c r="G13" s="120">
        <f t="shared" si="0"/>
        <v>6951.469</v>
      </c>
      <c r="H13" s="120">
        <f t="shared" si="1"/>
        <v>176.8821628498728</v>
      </c>
    </row>
    <row r="14" spans="4:8" ht="12.75">
      <c r="D14" t="s">
        <v>102</v>
      </c>
      <c r="E14">
        <v>24.2</v>
      </c>
      <c r="F14">
        <v>3026.1</v>
      </c>
      <c r="G14" s="120">
        <f t="shared" si="0"/>
        <v>3237.927</v>
      </c>
      <c r="H14" s="120">
        <f t="shared" si="1"/>
        <v>133.79863636363638</v>
      </c>
    </row>
    <row r="15" spans="4:8" ht="12.75">
      <c r="D15" t="s">
        <v>103</v>
      </c>
      <c r="E15">
        <v>6</v>
      </c>
      <c r="F15">
        <v>441.2</v>
      </c>
      <c r="G15" s="120">
        <f t="shared" si="0"/>
        <v>472.084</v>
      </c>
      <c r="H15" s="120">
        <f t="shared" si="1"/>
        <v>78.68066666666667</v>
      </c>
    </row>
    <row r="16" spans="4:8" ht="12.75">
      <c r="D16">
        <v>200</v>
      </c>
      <c r="E16">
        <v>126.9</v>
      </c>
      <c r="F16" s="120">
        <v>15377.99</v>
      </c>
      <c r="G16" s="120">
        <f>F16*1.07</f>
        <v>16454.4493</v>
      </c>
      <c r="H16" s="120">
        <f>G16/E16</f>
        <v>129.66469109535066</v>
      </c>
    </row>
    <row r="17" spans="4:8" ht="12.75">
      <c r="D17" t="s">
        <v>102</v>
      </c>
      <c r="E17">
        <v>38</v>
      </c>
      <c r="F17">
        <v>3524</v>
      </c>
      <c r="G17" s="120">
        <f aca="true" t="shared" si="2" ref="G17:G50">F17*1.07</f>
        <v>3770.6800000000003</v>
      </c>
      <c r="H17" s="120">
        <f aca="true" t="shared" si="3" ref="H17:H50">G17/E17</f>
        <v>99.22842105263159</v>
      </c>
    </row>
    <row r="18" spans="4:8" ht="12.75">
      <c r="D18" t="s">
        <v>104</v>
      </c>
      <c r="E18">
        <v>14</v>
      </c>
      <c r="F18">
        <v>1237.43</v>
      </c>
      <c r="G18" s="120">
        <f t="shared" si="2"/>
        <v>1324.0501000000002</v>
      </c>
      <c r="H18" s="120">
        <f t="shared" si="3"/>
        <v>94.57500714285716</v>
      </c>
    </row>
    <row r="19" spans="4:8" ht="12.75">
      <c r="D19">
        <v>200</v>
      </c>
      <c r="E19">
        <v>101.4</v>
      </c>
      <c r="F19">
        <v>11920.54</v>
      </c>
      <c r="G19" s="120">
        <f t="shared" si="2"/>
        <v>12754.977800000002</v>
      </c>
      <c r="H19" s="120">
        <f t="shared" si="3"/>
        <v>125.78873570019725</v>
      </c>
    </row>
    <row r="20" spans="4:8" ht="12.75">
      <c r="D20" t="s">
        <v>102</v>
      </c>
      <c r="E20">
        <v>26.3</v>
      </c>
      <c r="F20">
        <v>3225.97</v>
      </c>
      <c r="G20" s="120">
        <f t="shared" si="2"/>
        <v>3451.7879</v>
      </c>
      <c r="H20" s="120">
        <f t="shared" si="3"/>
        <v>131.24668821292775</v>
      </c>
    </row>
    <row r="21" spans="4:8" ht="12.75">
      <c r="D21" t="s">
        <v>104</v>
      </c>
      <c r="E21">
        <v>11.1</v>
      </c>
      <c r="F21">
        <v>861.15</v>
      </c>
      <c r="G21" s="120">
        <f t="shared" si="2"/>
        <v>921.4305</v>
      </c>
      <c r="H21" s="120">
        <f t="shared" si="3"/>
        <v>83.01175675675677</v>
      </c>
    </row>
    <row r="22" spans="4:8" ht="12.75">
      <c r="D22">
        <v>200</v>
      </c>
      <c r="E22">
        <v>168.7</v>
      </c>
      <c r="F22">
        <v>11099.12</v>
      </c>
      <c r="G22" s="120">
        <f t="shared" si="2"/>
        <v>11876.058400000002</v>
      </c>
      <c r="H22" s="120">
        <f t="shared" si="3"/>
        <v>70.39750088915235</v>
      </c>
    </row>
    <row r="23" spans="4:8" ht="12.75">
      <c r="D23" t="s">
        <v>102</v>
      </c>
      <c r="E23">
        <v>176.8</v>
      </c>
      <c r="F23">
        <v>15198.04</v>
      </c>
      <c r="G23" s="120">
        <f t="shared" si="2"/>
        <v>16261.902800000002</v>
      </c>
      <c r="H23" s="120">
        <f t="shared" si="3"/>
        <v>91.97908823529413</v>
      </c>
    </row>
    <row r="24" spans="4:8" ht="12.75">
      <c r="D24" t="s">
        <v>104</v>
      </c>
      <c r="E24">
        <v>20.1</v>
      </c>
      <c r="F24">
        <v>1438.67</v>
      </c>
      <c r="G24" s="120">
        <f t="shared" si="2"/>
        <v>1539.3769000000002</v>
      </c>
      <c r="H24" s="120">
        <f t="shared" si="3"/>
        <v>76.58591542288558</v>
      </c>
    </row>
    <row r="25" spans="4:8" ht="12.75">
      <c r="D25">
        <v>200</v>
      </c>
      <c r="E25">
        <v>83.5</v>
      </c>
      <c r="F25">
        <v>32179.78</v>
      </c>
      <c r="G25" s="120">
        <f t="shared" si="2"/>
        <v>34432.3646</v>
      </c>
      <c r="H25" s="120">
        <f t="shared" si="3"/>
        <v>412.3636479041916</v>
      </c>
    </row>
    <row r="26" spans="4:8" ht="12.75">
      <c r="D26" t="s">
        <v>102</v>
      </c>
      <c r="E26">
        <v>84.1</v>
      </c>
      <c r="F26">
        <v>9918.15</v>
      </c>
      <c r="G26" s="120">
        <f t="shared" si="2"/>
        <v>10612.4205</v>
      </c>
      <c r="H26" s="120">
        <f t="shared" si="3"/>
        <v>126.1881153388823</v>
      </c>
    </row>
    <row r="27" spans="4:8" ht="12.75">
      <c r="D27" t="s">
        <v>104</v>
      </c>
      <c r="E27">
        <v>33.8</v>
      </c>
      <c r="F27">
        <v>4011.68</v>
      </c>
      <c r="G27" s="120">
        <f t="shared" si="2"/>
        <v>4292.4976</v>
      </c>
      <c r="H27" s="120">
        <f t="shared" si="3"/>
        <v>126.99697041420119</v>
      </c>
    </row>
    <row r="28" spans="4:8" ht="12.75">
      <c r="D28">
        <v>200</v>
      </c>
      <c r="E28">
        <v>29.6</v>
      </c>
      <c r="F28">
        <v>5161.12</v>
      </c>
      <c r="G28" s="120">
        <f t="shared" si="2"/>
        <v>5522.3984</v>
      </c>
      <c r="H28" s="120">
        <f t="shared" si="3"/>
        <v>186.56751351351352</v>
      </c>
    </row>
    <row r="29" spans="4:8" ht="12.75">
      <c r="D29" t="s">
        <v>105</v>
      </c>
      <c r="E29">
        <v>30.8</v>
      </c>
      <c r="F29">
        <v>2987.81</v>
      </c>
      <c r="G29" s="120">
        <f t="shared" si="2"/>
        <v>3196.9567</v>
      </c>
      <c r="H29" s="120">
        <f t="shared" si="3"/>
        <v>103.79729545454546</v>
      </c>
    </row>
    <row r="30" spans="4:8" ht="12.75">
      <c r="D30" t="s">
        <v>104</v>
      </c>
      <c r="E30">
        <v>7.5</v>
      </c>
      <c r="F30">
        <v>1148.36</v>
      </c>
      <c r="G30" s="120">
        <f t="shared" si="2"/>
        <v>1228.7452</v>
      </c>
      <c r="H30" s="120">
        <f t="shared" si="3"/>
        <v>163.83269333333334</v>
      </c>
    </row>
    <row r="31" spans="4:8" ht="12.75">
      <c r="D31">
        <v>200</v>
      </c>
      <c r="E31">
        <v>32.5</v>
      </c>
      <c r="F31">
        <v>6945.05</v>
      </c>
      <c r="G31" s="120">
        <f t="shared" si="2"/>
        <v>7431.2035000000005</v>
      </c>
      <c r="H31" s="120">
        <f t="shared" si="3"/>
        <v>228.6524153846154</v>
      </c>
    </row>
    <row r="32" spans="4:8" ht="12.75">
      <c r="D32" t="s">
        <v>105</v>
      </c>
      <c r="E32">
        <v>44.1</v>
      </c>
      <c r="F32">
        <v>4475.19</v>
      </c>
      <c r="G32" s="120">
        <f t="shared" si="2"/>
        <v>4788.4533</v>
      </c>
      <c r="H32" s="120">
        <f t="shared" si="3"/>
        <v>108.5817074829932</v>
      </c>
    </row>
    <row r="33" spans="4:8" ht="12.75">
      <c r="D33">
        <v>200</v>
      </c>
      <c r="E33">
        <v>1235.7</v>
      </c>
      <c r="F33">
        <v>212664.73</v>
      </c>
      <c r="G33" s="120">
        <f t="shared" si="2"/>
        <v>227551.26110000003</v>
      </c>
      <c r="H33" s="120">
        <f t="shared" si="3"/>
        <v>184.14765808853284</v>
      </c>
    </row>
    <row r="34" spans="4:8" ht="12.75">
      <c r="D34" t="s">
        <v>105</v>
      </c>
      <c r="E34">
        <v>577.2</v>
      </c>
      <c r="F34">
        <v>84649.9</v>
      </c>
      <c r="G34" s="120">
        <f t="shared" si="2"/>
        <v>90575.393</v>
      </c>
      <c r="H34" s="120">
        <f t="shared" si="3"/>
        <v>156.92202529452527</v>
      </c>
    </row>
    <row r="35" spans="4:8" ht="12.75">
      <c r="D35" t="s">
        <v>104</v>
      </c>
      <c r="E35">
        <v>121.4</v>
      </c>
      <c r="F35">
        <v>8645.68</v>
      </c>
      <c r="G35" s="120">
        <f t="shared" si="2"/>
        <v>9250.877600000002</v>
      </c>
      <c r="H35" s="120">
        <f t="shared" si="3"/>
        <v>76.2016276771005</v>
      </c>
    </row>
    <row r="36" spans="4:8" ht="12.75">
      <c r="D36">
        <v>200</v>
      </c>
      <c r="E36">
        <v>497.1</v>
      </c>
      <c r="F36">
        <v>79040</v>
      </c>
      <c r="G36" s="120">
        <f t="shared" si="2"/>
        <v>84572.8</v>
      </c>
      <c r="H36" s="120">
        <f t="shared" si="3"/>
        <v>170.13236773285053</v>
      </c>
    </row>
    <row r="37" spans="4:8" ht="12.75">
      <c r="D37" t="s">
        <v>105</v>
      </c>
      <c r="E37">
        <v>121.9</v>
      </c>
      <c r="F37">
        <v>16587.82</v>
      </c>
      <c r="G37" s="120">
        <f t="shared" si="2"/>
        <v>17748.9674</v>
      </c>
      <c r="H37" s="120">
        <f t="shared" si="3"/>
        <v>145.60268580803938</v>
      </c>
    </row>
    <row r="38" spans="4:8" ht="12.75">
      <c r="D38" t="s">
        <v>104</v>
      </c>
      <c r="E38">
        <v>25</v>
      </c>
      <c r="F38">
        <v>1959.3</v>
      </c>
      <c r="G38" s="120">
        <f t="shared" si="2"/>
        <v>2096.451</v>
      </c>
      <c r="H38" s="120">
        <f t="shared" si="3"/>
        <v>83.85804</v>
      </c>
    </row>
    <row r="39" spans="4:8" ht="12.75">
      <c r="D39">
        <v>200</v>
      </c>
      <c r="E39">
        <v>100.1</v>
      </c>
      <c r="F39">
        <v>13601.26</v>
      </c>
      <c r="G39" s="120">
        <f t="shared" si="2"/>
        <v>14553.3482</v>
      </c>
      <c r="H39" s="120">
        <f t="shared" si="3"/>
        <v>145.38809390609393</v>
      </c>
    </row>
    <row r="40" spans="4:8" ht="12.75">
      <c r="D40" t="s">
        <v>105</v>
      </c>
      <c r="E40">
        <v>7.6</v>
      </c>
      <c r="F40">
        <v>1283.44</v>
      </c>
      <c r="G40" s="120">
        <f t="shared" si="2"/>
        <v>1373.2808000000002</v>
      </c>
      <c r="H40" s="120">
        <f t="shared" si="3"/>
        <v>180.6948421052632</v>
      </c>
    </row>
    <row r="41" spans="4:8" ht="12.75">
      <c r="D41" t="s">
        <v>104</v>
      </c>
      <c r="E41">
        <v>4.5</v>
      </c>
      <c r="F41">
        <v>294.35</v>
      </c>
      <c r="G41" s="120">
        <f t="shared" si="2"/>
        <v>314.95450000000005</v>
      </c>
      <c r="H41" s="120">
        <f t="shared" si="3"/>
        <v>69.9898888888889</v>
      </c>
    </row>
    <row r="42" spans="4:8" ht="12.75">
      <c r="D42">
        <v>200</v>
      </c>
      <c r="E42">
        <v>282.5</v>
      </c>
      <c r="F42">
        <v>41310.99</v>
      </c>
      <c r="G42" s="120">
        <f t="shared" si="2"/>
        <v>44202.7593</v>
      </c>
      <c r="H42" s="120">
        <f t="shared" si="3"/>
        <v>156.46994442477876</v>
      </c>
    </row>
    <row r="43" spans="4:8" ht="12.75">
      <c r="D43" t="s">
        <v>105</v>
      </c>
      <c r="E43">
        <v>125.8</v>
      </c>
      <c r="F43">
        <v>16216.53</v>
      </c>
      <c r="G43" s="120">
        <f t="shared" si="2"/>
        <v>17351.687100000003</v>
      </c>
      <c r="H43" s="120">
        <f t="shared" si="3"/>
        <v>137.93074006359302</v>
      </c>
    </row>
    <row r="44" spans="4:8" ht="12.75">
      <c r="D44" t="s">
        <v>104</v>
      </c>
      <c r="E44">
        <v>14</v>
      </c>
      <c r="F44">
        <v>923.6</v>
      </c>
      <c r="G44" s="120">
        <f t="shared" si="2"/>
        <v>988.2520000000001</v>
      </c>
      <c r="H44" s="120">
        <f t="shared" si="3"/>
        <v>70.58942857142857</v>
      </c>
    </row>
    <row r="45" spans="4:8" ht="12.75">
      <c r="D45">
        <v>200</v>
      </c>
      <c r="E45">
        <v>52.9</v>
      </c>
      <c r="F45">
        <v>13801.59</v>
      </c>
      <c r="G45" s="120">
        <f t="shared" si="2"/>
        <v>14767.7013</v>
      </c>
      <c r="H45" s="120">
        <f t="shared" si="3"/>
        <v>279.162595463138</v>
      </c>
    </row>
    <row r="46" spans="4:8" ht="12.75">
      <c r="D46" t="s">
        <v>105</v>
      </c>
      <c r="E46">
        <v>65.2</v>
      </c>
      <c r="F46">
        <v>8057.99</v>
      </c>
      <c r="G46" s="120">
        <f t="shared" si="2"/>
        <v>8622.0493</v>
      </c>
      <c r="H46" s="120">
        <f t="shared" si="3"/>
        <v>132.2400199386503</v>
      </c>
    </row>
    <row r="47" spans="4:8" ht="12.75">
      <c r="D47" t="s">
        <v>104</v>
      </c>
      <c r="E47">
        <v>9</v>
      </c>
      <c r="F47">
        <v>663.61</v>
      </c>
      <c r="G47" s="120">
        <f t="shared" si="2"/>
        <v>710.0627000000001</v>
      </c>
      <c r="H47" s="120">
        <f t="shared" si="3"/>
        <v>78.89585555555556</v>
      </c>
    </row>
    <row r="48" spans="4:8" ht="12.75">
      <c r="D48">
        <v>200</v>
      </c>
      <c r="E48">
        <v>125</v>
      </c>
      <c r="F48">
        <v>23840.81</v>
      </c>
      <c r="G48" s="120">
        <f t="shared" si="2"/>
        <v>25509.6667</v>
      </c>
      <c r="H48" s="120">
        <f t="shared" si="3"/>
        <v>204.0773336</v>
      </c>
    </row>
    <row r="49" spans="4:8" ht="12.75">
      <c r="D49" t="s">
        <v>105</v>
      </c>
      <c r="E49">
        <v>65.2</v>
      </c>
      <c r="F49">
        <v>8057.99</v>
      </c>
      <c r="G49" s="120">
        <f t="shared" si="2"/>
        <v>8622.0493</v>
      </c>
      <c r="H49" s="120">
        <f t="shared" si="3"/>
        <v>132.2400199386503</v>
      </c>
    </row>
    <row r="50" spans="4:8" ht="12.75">
      <c r="D50" t="s">
        <v>104</v>
      </c>
      <c r="E50">
        <v>25</v>
      </c>
      <c r="F50">
        <v>1121.93</v>
      </c>
      <c r="G50" s="120">
        <f t="shared" si="2"/>
        <v>1200.4651000000001</v>
      </c>
      <c r="H50" s="120">
        <f t="shared" si="3"/>
        <v>48.018604</v>
      </c>
    </row>
    <row r="51" spans="6:7" ht="12.75">
      <c r="F51">
        <f>SUM(F5:F50)</f>
        <v>1121495.3500000003</v>
      </c>
      <c r="G51" s="121">
        <f>SUM(G5:G50)</f>
        <v>1200000.0245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zoomScale="68" zoomScaleNormal="68" workbookViewId="0" topLeftCell="A1">
      <selection activeCell="G24" sqref="G24:I24"/>
    </sheetView>
  </sheetViews>
  <sheetFormatPr defaultColWidth="9.00390625" defaultRowHeight="12.75"/>
  <cols>
    <col min="1" max="1" width="35.875" style="4" customWidth="1"/>
    <col min="2" max="2" width="9.875" style="10" customWidth="1"/>
    <col min="3" max="3" width="12.00390625" style="14" bestFit="1" customWidth="1"/>
    <col min="4" max="4" width="16.75390625" style="34" bestFit="1" customWidth="1"/>
    <col min="5" max="5" width="16.00390625" style="34" bestFit="1" customWidth="1"/>
    <col min="6" max="6" width="16.75390625" style="34" bestFit="1" customWidth="1"/>
    <col min="7" max="7" width="16.00390625" style="34" bestFit="1" customWidth="1"/>
    <col min="8" max="8" width="16.75390625" style="34" bestFit="1" customWidth="1"/>
    <col min="9" max="9" width="17.875" style="34" bestFit="1" customWidth="1"/>
    <col min="10" max="10" width="9.75390625" style="4" customWidth="1"/>
    <col min="11" max="11" width="11.375" style="4" customWidth="1"/>
    <col min="12" max="12" width="20.125" style="4" bestFit="1" customWidth="1"/>
    <col min="13" max="16384" width="11.375" style="4" customWidth="1"/>
  </cols>
  <sheetData>
    <row r="1" spans="1:9" ht="31.5" thickBot="1" thickTop="1">
      <c r="A1" s="51" t="s">
        <v>1</v>
      </c>
      <c r="B1" s="52" t="s">
        <v>48</v>
      </c>
      <c r="C1" s="53" t="s">
        <v>2</v>
      </c>
      <c r="D1" s="54" t="s">
        <v>3</v>
      </c>
      <c r="E1" s="54" t="s">
        <v>49</v>
      </c>
      <c r="F1" s="54" t="s">
        <v>50</v>
      </c>
      <c r="G1" s="54" t="s">
        <v>6</v>
      </c>
      <c r="H1" s="55" t="s">
        <v>51</v>
      </c>
      <c r="I1" s="54" t="s">
        <v>57</v>
      </c>
    </row>
    <row r="2" spans="1:9" ht="16.5" customHeight="1" thickBot="1" thickTop="1">
      <c r="A2" s="56" t="s">
        <v>13</v>
      </c>
      <c r="B2" s="57"/>
      <c r="C2" s="58"/>
      <c r="D2" s="59">
        <f>E2+F2</f>
        <v>0</v>
      </c>
      <c r="E2" s="59">
        <v>0</v>
      </c>
      <c r="F2" s="59">
        <v>0</v>
      </c>
      <c r="G2" s="59">
        <f>E2+F2*15%</f>
        <v>0</v>
      </c>
      <c r="H2" s="60">
        <f>F2*75%</f>
        <v>0</v>
      </c>
      <c r="I2" s="59">
        <f>F2*10%</f>
        <v>0</v>
      </c>
    </row>
    <row r="3" spans="1:9" ht="16.5" customHeight="1" thickBot="1" thickTop="1">
      <c r="A3" s="61" t="s">
        <v>8</v>
      </c>
      <c r="B3" s="62"/>
      <c r="C3" s="63"/>
      <c r="D3" s="64">
        <f aca="true" t="shared" si="0" ref="D3:I3">D2</f>
        <v>0</v>
      </c>
      <c r="E3" s="64">
        <f t="shared" si="0"/>
        <v>0</v>
      </c>
      <c r="F3" s="64">
        <f t="shared" si="0"/>
        <v>0</v>
      </c>
      <c r="G3" s="64">
        <f t="shared" si="0"/>
        <v>0</v>
      </c>
      <c r="H3" s="65">
        <f t="shared" si="0"/>
        <v>0</v>
      </c>
      <c r="I3" s="64">
        <f t="shared" si="0"/>
        <v>0</v>
      </c>
    </row>
    <row r="4" spans="1:9" ht="17.25" thickTop="1">
      <c r="A4" s="66" t="s">
        <v>60</v>
      </c>
      <c r="B4" s="67">
        <v>200</v>
      </c>
      <c r="C4" s="68">
        <v>7695.4</v>
      </c>
      <c r="D4" s="69">
        <f aca="true" t="shared" si="1" ref="D4:D14">E4+F4</f>
        <v>1476360.2</v>
      </c>
      <c r="E4" s="70">
        <v>0</v>
      </c>
      <c r="F4" s="70">
        <v>1476360.2</v>
      </c>
      <c r="G4" s="69">
        <f aca="true" t="shared" si="2" ref="G4:G14">E4+F4*15%</f>
        <v>221454.03</v>
      </c>
      <c r="H4" s="71">
        <f>F4*75%</f>
        <v>1107270.15</v>
      </c>
      <c r="I4" s="69">
        <f aca="true" t="shared" si="3" ref="I4:I14">F4*10%</f>
        <v>147636.02</v>
      </c>
    </row>
    <row r="5" spans="1:9" s="8" customFormat="1" ht="16.5" customHeight="1">
      <c r="A5" s="72" t="s">
        <v>61</v>
      </c>
      <c r="B5" s="73">
        <v>160</v>
      </c>
      <c r="C5" s="74">
        <v>3520.7</v>
      </c>
      <c r="D5" s="75">
        <f t="shared" si="1"/>
        <v>553729.87</v>
      </c>
      <c r="E5" s="76">
        <v>0</v>
      </c>
      <c r="F5" s="76">
        <v>553729.87</v>
      </c>
      <c r="G5" s="75">
        <f t="shared" si="2"/>
        <v>83059.48049999999</v>
      </c>
      <c r="H5" s="77">
        <f>F5*75%</f>
        <v>415297.40249999997</v>
      </c>
      <c r="I5" s="75">
        <f t="shared" si="3"/>
        <v>55372.987</v>
      </c>
    </row>
    <row r="6" spans="1:9" ht="16.5">
      <c r="A6" s="72" t="s">
        <v>62</v>
      </c>
      <c r="B6" s="73">
        <v>160</v>
      </c>
      <c r="C6" s="74">
        <v>922.3</v>
      </c>
      <c r="D6" s="75">
        <f t="shared" si="1"/>
        <v>89739.51</v>
      </c>
      <c r="E6" s="76">
        <v>89739.51</v>
      </c>
      <c r="F6" s="76">
        <v>0</v>
      </c>
      <c r="G6" s="75">
        <f t="shared" si="2"/>
        <v>89739.51</v>
      </c>
      <c r="H6" s="77">
        <f>F6*75%</f>
        <v>0</v>
      </c>
      <c r="I6" s="75">
        <f t="shared" si="3"/>
        <v>0</v>
      </c>
    </row>
    <row r="7" spans="1:9" ht="16.5">
      <c r="A7" s="72" t="s">
        <v>63</v>
      </c>
      <c r="B7" s="73" t="s">
        <v>13</v>
      </c>
      <c r="C7" s="74">
        <v>4</v>
      </c>
      <c r="D7" s="75">
        <f t="shared" si="1"/>
        <v>197752.52</v>
      </c>
      <c r="E7" s="76">
        <v>0</v>
      </c>
      <c r="F7" s="76">
        <v>197752.52</v>
      </c>
      <c r="G7" s="75">
        <f t="shared" si="2"/>
        <v>29662.877999999997</v>
      </c>
      <c r="H7" s="77">
        <f>F7*75%</f>
        <v>148314.38999999998</v>
      </c>
      <c r="I7" s="75">
        <f t="shared" si="3"/>
        <v>19775.252</v>
      </c>
    </row>
    <row r="8" spans="1:9" ht="16.5">
      <c r="A8" s="72" t="s">
        <v>64</v>
      </c>
      <c r="B8" s="73">
        <v>160</v>
      </c>
      <c r="C8" s="74">
        <v>1302.3</v>
      </c>
      <c r="D8" s="75">
        <f t="shared" si="1"/>
        <v>176995.14</v>
      </c>
      <c r="E8" s="76">
        <v>0</v>
      </c>
      <c r="F8" s="76">
        <v>176995.14</v>
      </c>
      <c r="G8" s="75">
        <f t="shared" si="2"/>
        <v>26549.271</v>
      </c>
      <c r="H8" s="77">
        <f>F8*75%</f>
        <v>132746.355</v>
      </c>
      <c r="I8" s="75">
        <f t="shared" si="3"/>
        <v>17699.514000000003</v>
      </c>
    </row>
    <row r="9" spans="1:9" ht="16.5">
      <c r="A9" s="72" t="s">
        <v>64</v>
      </c>
      <c r="B9" s="73">
        <v>90</v>
      </c>
      <c r="C9" s="74">
        <v>397.6</v>
      </c>
      <c r="D9" s="75">
        <f t="shared" si="1"/>
        <v>25734.45</v>
      </c>
      <c r="E9" s="76">
        <v>0</v>
      </c>
      <c r="F9" s="76">
        <v>25734.45</v>
      </c>
      <c r="G9" s="75">
        <f t="shared" si="2"/>
        <v>3860.1675</v>
      </c>
      <c r="H9" s="77">
        <f>F9*75%-0.005</f>
        <v>19300.8325</v>
      </c>
      <c r="I9" s="75">
        <f t="shared" si="3"/>
        <v>2573.445</v>
      </c>
    </row>
    <row r="10" spans="1:9" ht="16.5">
      <c r="A10" s="72" t="s">
        <v>65</v>
      </c>
      <c r="B10" s="73" t="s">
        <v>52</v>
      </c>
      <c r="C10" s="74" t="s">
        <v>42</v>
      </c>
      <c r="D10" s="75">
        <f t="shared" si="1"/>
        <v>119259.98</v>
      </c>
      <c r="E10" s="76">
        <v>0</v>
      </c>
      <c r="F10" s="76">
        <v>119259.98</v>
      </c>
      <c r="G10" s="75">
        <f t="shared" si="2"/>
        <v>17888.997</v>
      </c>
      <c r="H10" s="77">
        <f>F10*75%</f>
        <v>89444.985</v>
      </c>
      <c r="I10" s="75">
        <f t="shared" si="3"/>
        <v>11925.998</v>
      </c>
    </row>
    <row r="11" spans="1:9" ht="16.5">
      <c r="A11" s="72" t="s">
        <v>66</v>
      </c>
      <c r="B11" s="73" t="s">
        <v>53</v>
      </c>
      <c r="C11" s="74" t="s">
        <v>42</v>
      </c>
      <c r="D11" s="75">
        <f t="shared" si="1"/>
        <v>34240</v>
      </c>
      <c r="E11" s="76">
        <v>0</v>
      </c>
      <c r="F11" s="76">
        <v>34240</v>
      </c>
      <c r="G11" s="75">
        <f t="shared" si="2"/>
        <v>5136</v>
      </c>
      <c r="H11" s="77">
        <f>F11*75%</f>
        <v>25680</v>
      </c>
      <c r="I11" s="75">
        <f t="shared" si="3"/>
        <v>3424</v>
      </c>
    </row>
    <row r="12" spans="1:9" ht="16.5">
      <c r="A12" s="72" t="s">
        <v>67</v>
      </c>
      <c r="B12" s="73">
        <v>110</v>
      </c>
      <c r="C12" s="74">
        <v>2854.8</v>
      </c>
      <c r="D12" s="75">
        <f t="shared" si="1"/>
        <v>247490.52</v>
      </c>
      <c r="E12" s="76">
        <v>0</v>
      </c>
      <c r="F12" s="76">
        <v>247490.52</v>
      </c>
      <c r="G12" s="75">
        <f t="shared" si="2"/>
        <v>37123.577999999994</v>
      </c>
      <c r="H12" s="77">
        <f>F12*75%</f>
        <v>185617.88999999998</v>
      </c>
      <c r="I12" s="75">
        <f t="shared" si="3"/>
        <v>24749.052</v>
      </c>
    </row>
    <row r="13" spans="1:9" ht="16.5">
      <c r="A13" s="72" t="s">
        <v>67</v>
      </c>
      <c r="B13" s="73">
        <v>90</v>
      </c>
      <c r="C13" s="74">
        <v>4758.4</v>
      </c>
      <c r="D13" s="75">
        <f t="shared" si="1"/>
        <v>229595.9</v>
      </c>
      <c r="E13" s="76">
        <v>0</v>
      </c>
      <c r="F13" s="76">
        <v>229595.9</v>
      </c>
      <c r="G13" s="75">
        <f t="shared" si="2"/>
        <v>34439.384999999995</v>
      </c>
      <c r="H13" s="77">
        <f>F13*75%</f>
        <v>172196.925</v>
      </c>
      <c r="I13" s="75">
        <f t="shared" si="3"/>
        <v>22959.59</v>
      </c>
    </row>
    <row r="14" spans="1:9" ht="17.25" thickBot="1">
      <c r="A14" s="78" t="s">
        <v>68</v>
      </c>
      <c r="B14" s="79">
        <v>32</v>
      </c>
      <c r="C14" s="79" t="s">
        <v>59</v>
      </c>
      <c r="D14" s="80">
        <f t="shared" si="1"/>
        <v>125561.43</v>
      </c>
      <c r="E14" s="81">
        <v>125561.43</v>
      </c>
      <c r="F14" s="81">
        <v>0</v>
      </c>
      <c r="G14" s="80">
        <f t="shared" si="2"/>
        <v>125561.43</v>
      </c>
      <c r="H14" s="82">
        <f>F14*75%</f>
        <v>0</v>
      </c>
      <c r="I14" s="80">
        <f t="shared" si="3"/>
        <v>0</v>
      </c>
    </row>
    <row r="15" spans="1:9" ht="18" thickBot="1" thickTop="1">
      <c r="A15" s="83" t="s">
        <v>9</v>
      </c>
      <c r="B15" s="84"/>
      <c r="C15" s="85"/>
      <c r="D15" s="86">
        <f aca="true" t="shared" si="4" ref="D15:I15">D4+D5+D6+D7+D8+D9+D10+D11+D12+D13+D14</f>
        <v>3276459.52</v>
      </c>
      <c r="E15" s="86">
        <f t="shared" si="4"/>
        <v>215300.94</v>
      </c>
      <c r="F15" s="86">
        <f t="shared" si="4"/>
        <v>3061158.58</v>
      </c>
      <c r="G15" s="86">
        <f t="shared" si="4"/>
        <v>674474.727</v>
      </c>
      <c r="H15" s="87">
        <f t="shared" si="4"/>
        <v>2295868.9299999997</v>
      </c>
      <c r="I15" s="86">
        <f t="shared" si="4"/>
        <v>306115.858</v>
      </c>
    </row>
    <row r="16" spans="1:9" ht="17.25" thickTop="1">
      <c r="A16" s="88" t="s">
        <v>58</v>
      </c>
      <c r="B16" s="89"/>
      <c r="C16" s="90"/>
      <c r="D16" s="70">
        <f>E16+F16</f>
        <v>25000</v>
      </c>
      <c r="E16" s="70"/>
      <c r="F16" s="70">
        <v>25000</v>
      </c>
      <c r="G16" s="70">
        <f>E16+F16*15%</f>
        <v>3750</v>
      </c>
      <c r="H16" s="91">
        <f>F16*75%</f>
        <v>18750</v>
      </c>
      <c r="I16" s="70">
        <f>F16*10%</f>
        <v>2500</v>
      </c>
    </row>
    <row r="17" spans="1:9" ht="16.5">
      <c r="A17" s="72" t="s">
        <v>54</v>
      </c>
      <c r="B17" s="92"/>
      <c r="C17" s="93"/>
      <c r="D17" s="76">
        <f>E17+F17</f>
        <v>30000</v>
      </c>
      <c r="E17" s="76"/>
      <c r="F17" s="76">
        <v>30000</v>
      </c>
      <c r="G17" s="76">
        <f>E17+F17*15%</f>
        <v>4500</v>
      </c>
      <c r="H17" s="94">
        <f>F17*75%</f>
        <v>22500</v>
      </c>
      <c r="I17" s="76">
        <f>F17*10%</f>
        <v>3000</v>
      </c>
    </row>
    <row r="18" spans="1:9" ht="16.5">
      <c r="A18" s="72" t="s">
        <v>55</v>
      </c>
      <c r="B18" s="92"/>
      <c r="C18" s="93"/>
      <c r="D18" s="76">
        <f>E18+F18</f>
        <v>0</v>
      </c>
      <c r="E18" s="76"/>
      <c r="F18" s="76">
        <v>0</v>
      </c>
      <c r="G18" s="76">
        <f>E18+F18*15%</f>
        <v>0</v>
      </c>
      <c r="H18" s="94">
        <f>F18*75%</f>
        <v>0</v>
      </c>
      <c r="I18" s="76">
        <f>F18*10%</f>
        <v>0</v>
      </c>
    </row>
    <row r="19" spans="1:9" ht="17.25" thickBot="1">
      <c r="A19" s="78" t="s">
        <v>56</v>
      </c>
      <c r="B19" s="95"/>
      <c r="C19" s="96"/>
      <c r="D19" s="81">
        <f>E19+F19</f>
        <v>60000</v>
      </c>
      <c r="E19" s="81">
        <v>60000</v>
      </c>
      <c r="F19" s="81">
        <v>0</v>
      </c>
      <c r="G19" s="81">
        <f>E19+F19*15%</f>
        <v>60000</v>
      </c>
      <c r="H19" s="97">
        <f>F19*75%</f>
        <v>0</v>
      </c>
      <c r="I19" s="81">
        <f>F19*10%</f>
        <v>0</v>
      </c>
    </row>
    <row r="20" spans="1:12" ht="18" thickBot="1" thickTop="1">
      <c r="A20" s="83" t="s">
        <v>10</v>
      </c>
      <c r="B20" s="84"/>
      <c r="C20" s="85"/>
      <c r="D20" s="86">
        <f aca="true" t="shared" si="5" ref="D20:I20">D16+D17+D19</f>
        <v>115000</v>
      </c>
      <c r="E20" s="86">
        <f t="shared" si="5"/>
        <v>60000</v>
      </c>
      <c r="F20" s="86">
        <f t="shared" si="5"/>
        <v>55000</v>
      </c>
      <c r="G20" s="86">
        <f t="shared" si="5"/>
        <v>68250</v>
      </c>
      <c r="H20" s="87">
        <f t="shared" si="5"/>
        <v>41250</v>
      </c>
      <c r="I20" s="86">
        <f t="shared" si="5"/>
        <v>5500</v>
      </c>
      <c r="L20" s="112">
        <f>H46+H71</f>
        <v>2337118.925</v>
      </c>
    </row>
    <row r="21" spans="1:12" s="12" customFormat="1" ht="18" thickBot="1" thickTop="1">
      <c r="A21" s="11" t="s">
        <v>3</v>
      </c>
      <c r="B21" s="142"/>
      <c r="C21" s="143"/>
      <c r="D21" s="29">
        <f aca="true" t="shared" si="6" ref="D21:I21">D20+D15+D3</f>
        <v>3391459.52</v>
      </c>
      <c r="E21" s="29">
        <f t="shared" si="6"/>
        <v>275300.94</v>
      </c>
      <c r="F21" s="29">
        <f t="shared" si="6"/>
        <v>3116158.58</v>
      </c>
      <c r="G21" s="29">
        <f t="shared" si="6"/>
        <v>742724.727</v>
      </c>
      <c r="H21" s="29">
        <f t="shared" si="6"/>
        <v>2337118.9299999997</v>
      </c>
      <c r="I21" s="29">
        <f t="shared" si="6"/>
        <v>311615.858</v>
      </c>
      <c r="L21" s="113">
        <f>I46+I71</f>
        <v>311615.858</v>
      </c>
    </row>
    <row r="22" spans="1:12" s="12" customFormat="1" ht="18" thickBot="1" thickTop="1">
      <c r="A22" s="11" t="s">
        <v>11</v>
      </c>
      <c r="B22" s="27"/>
      <c r="C22" s="28"/>
      <c r="D22" s="102" t="s">
        <v>13</v>
      </c>
      <c r="E22" s="32"/>
      <c r="F22" s="32"/>
      <c r="G22" s="32">
        <f>100%-(H22+I22)</f>
        <v>0.15000000160453975</v>
      </c>
      <c r="H22" s="37">
        <f>H21/F21</f>
        <v>0.7499999983954603</v>
      </c>
      <c r="I22" s="32">
        <f>I21/F21</f>
        <v>0.1</v>
      </c>
      <c r="L22" s="113">
        <f>G46+G71+0.01</f>
        <v>742724.737</v>
      </c>
    </row>
    <row r="23" spans="1:12" ht="18" thickBot="1" thickTop="1">
      <c r="A23" s="11" t="s">
        <v>12</v>
      </c>
      <c r="B23" s="142"/>
      <c r="C23" s="143"/>
      <c r="D23" s="33">
        <v>1</v>
      </c>
      <c r="E23" s="33">
        <f>E21/D21</f>
        <v>0.0811747680833295</v>
      </c>
      <c r="F23" s="33">
        <f>F21/D21</f>
        <v>0.9188252319166705</v>
      </c>
      <c r="G23" s="33">
        <f>G21/D21</f>
        <v>0.21899855287083006</v>
      </c>
      <c r="H23" s="33">
        <f>H21/D21</f>
        <v>0.6891189224632113</v>
      </c>
      <c r="I23" s="33">
        <f>I21/D21</f>
        <v>0.09188252319166705</v>
      </c>
      <c r="J23" s="12" t="s">
        <v>13</v>
      </c>
      <c r="L23" s="112">
        <f>SUM(L20:L22)</f>
        <v>3391459.5199999996</v>
      </c>
    </row>
    <row r="24" spans="5:9" ht="17.25" thickTop="1">
      <c r="E24" s="145" t="s">
        <v>13</v>
      </c>
      <c r="F24" s="146"/>
      <c r="G24" s="145" t="s">
        <v>13</v>
      </c>
      <c r="H24" s="146"/>
      <c r="I24" s="146"/>
    </row>
    <row r="25" spans="1:9" ht="17.25" thickBot="1">
      <c r="A25" s="98"/>
      <c r="B25" s="98"/>
      <c r="C25" s="99"/>
      <c r="D25" s="100" t="s">
        <v>22</v>
      </c>
      <c r="E25" s="100"/>
      <c r="F25" s="100"/>
      <c r="G25" s="100"/>
      <c r="H25" s="101" t="s">
        <v>13</v>
      </c>
      <c r="I25" s="101"/>
    </row>
    <row r="26" spans="1:11" ht="31.5" thickBot="1" thickTop="1">
      <c r="A26" s="51" t="s">
        <v>1</v>
      </c>
      <c r="B26" s="52" t="s">
        <v>48</v>
      </c>
      <c r="C26" s="53" t="s">
        <v>2</v>
      </c>
      <c r="D26" s="54" t="s">
        <v>3</v>
      </c>
      <c r="E26" s="54" t="s">
        <v>49</v>
      </c>
      <c r="F26" s="54" t="s">
        <v>50</v>
      </c>
      <c r="G26" s="54" t="s">
        <v>6</v>
      </c>
      <c r="H26" s="55" t="s">
        <v>51</v>
      </c>
      <c r="I26" s="54" t="s">
        <v>57</v>
      </c>
      <c r="K26" s="4" t="e">
        <f>+C4,C5,C6</f>
        <v>#VALUE!</v>
      </c>
    </row>
    <row r="27" spans="1:9" ht="18" thickBot="1" thickTop="1">
      <c r="A27" s="56" t="s">
        <v>13</v>
      </c>
      <c r="B27" s="57"/>
      <c r="C27" s="58"/>
      <c r="D27" s="59">
        <f>E27+F27</f>
        <v>0</v>
      </c>
      <c r="E27" s="59">
        <v>0</v>
      </c>
      <c r="F27" s="59">
        <v>0</v>
      </c>
      <c r="G27" s="59">
        <f>E27+F27*15%</f>
        <v>0</v>
      </c>
      <c r="H27" s="60">
        <f>F27*75%</f>
        <v>0</v>
      </c>
      <c r="I27" s="59">
        <f>F27*10%</f>
        <v>0</v>
      </c>
    </row>
    <row r="28" spans="1:9" ht="18" thickBot="1" thickTop="1">
      <c r="A28" s="61" t="s">
        <v>8</v>
      </c>
      <c r="B28" s="62"/>
      <c r="C28" s="63"/>
      <c r="D28" s="64">
        <f aca="true" t="shared" si="7" ref="D28:I28">D27</f>
        <v>0</v>
      </c>
      <c r="E28" s="64">
        <f t="shared" si="7"/>
        <v>0</v>
      </c>
      <c r="F28" s="64">
        <f t="shared" si="7"/>
        <v>0</v>
      </c>
      <c r="G28" s="64">
        <f t="shared" si="7"/>
        <v>0</v>
      </c>
      <c r="H28" s="65">
        <f t="shared" si="7"/>
        <v>0</v>
      </c>
      <c r="I28" s="64">
        <f t="shared" si="7"/>
        <v>0</v>
      </c>
    </row>
    <row r="29" spans="1:9" ht="17.25" thickTop="1">
      <c r="A29" s="66" t="s">
        <v>60</v>
      </c>
      <c r="B29" s="67">
        <v>200</v>
      </c>
      <c r="C29" s="68">
        <f>C4</f>
        <v>7695.4</v>
      </c>
      <c r="D29" s="69">
        <f aca="true" t="shared" si="8" ref="D29:D39">E29+F29</f>
        <v>500000</v>
      </c>
      <c r="E29" s="70">
        <v>0</v>
      </c>
      <c r="F29" s="70">
        <v>500000</v>
      </c>
      <c r="G29" s="69">
        <f aca="true" t="shared" si="9" ref="G29:G39">E29+F29*15%</f>
        <v>75000</v>
      </c>
      <c r="H29" s="71">
        <f>F29*75%</f>
        <v>375000</v>
      </c>
      <c r="I29" s="69">
        <f aca="true" t="shared" si="10" ref="I29:I39">F29*10%</f>
        <v>50000</v>
      </c>
    </row>
    <row r="30" spans="1:9" ht="16.5">
      <c r="A30" s="72" t="s">
        <v>61</v>
      </c>
      <c r="B30" s="73">
        <v>160</v>
      </c>
      <c r="C30" s="74">
        <v>3520.7</v>
      </c>
      <c r="D30" s="75">
        <f t="shared" si="8"/>
        <v>20000</v>
      </c>
      <c r="E30" s="76">
        <v>0</v>
      </c>
      <c r="F30" s="76">
        <v>20000</v>
      </c>
      <c r="G30" s="75">
        <f t="shared" si="9"/>
        <v>3000</v>
      </c>
      <c r="H30" s="77">
        <f>F30*75%</f>
        <v>15000</v>
      </c>
      <c r="I30" s="75">
        <f t="shared" si="10"/>
        <v>2000</v>
      </c>
    </row>
    <row r="31" spans="1:9" ht="16.5">
      <c r="A31" s="72" t="s">
        <v>62</v>
      </c>
      <c r="B31" s="73">
        <v>160</v>
      </c>
      <c r="C31" s="74">
        <v>922.3</v>
      </c>
      <c r="D31" s="75">
        <f t="shared" si="8"/>
        <v>30000</v>
      </c>
      <c r="E31" s="76">
        <v>30000</v>
      </c>
      <c r="F31" s="76">
        <v>0</v>
      </c>
      <c r="G31" s="75">
        <f t="shared" si="9"/>
        <v>30000</v>
      </c>
      <c r="H31" s="77">
        <f>F31*75%</f>
        <v>0</v>
      </c>
      <c r="I31" s="75">
        <f t="shared" si="10"/>
        <v>0</v>
      </c>
    </row>
    <row r="32" spans="1:9" ht="16.5">
      <c r="A32" s="72" t="s">
        <v>63</v>
      </c>
      <c r="B32" s="73" t="s">
        <v>13</v>
      </c>
      <c r="C32" s="74">
        <v>4</v>
      </c>
      <c r="D32" s="75">
        <f t="shared" si="8"/>
        <v>100000</v>
      </c>
      <c r="E32" s="76">
        <v>0</v>
      </c>
      <c r="F32" s="76">
        <v>100000</v>
      </c>
      <c r="G32" s="75">
        <f t="shared" si="9"/>
        <v>15000</v>
      </c>
      <c r="H32" s="77">
        <f>F32*75%</f>
        <v>75000</v>
      </c>
      <c r="I32" s="75">
        <f t="shared" si="10"/>
        <v>10000</v>
      </c>
    </row>
    <row r="33" spans="1:9" ht="16.5">
      <c r="A33" s="72" t="s">
        <v>64</v>
      </c>
      <c r="B33" s="73">
        <v>160</v>
      </c>
      <c r="C33" s="74">
        <v>1302.3</v>
      </c>
      <c r="D33" s="75">
        <f t="shared" si="8"/>
        <v>176995.14</v>
      </c>
      <c r="E33" s="76">
        <v>0</v>
      </c>
      <c r="F33" s="76">
        <v>176995.14</v>
      </c>
      <c r="G33" s="75">
        <f t="shared" si="9"/>
        <v>26549.271</v>
      </c>
      <c r="H33" s="77">
        <f>F33*75%</f>
        <v>132746.355</v>
      </c>
      <c r="I33" s="75">
        <f t="shared" si="10"/>
        <v>17699.514000000003</v>
      </c>
    </row>
    <row r="34" spans="1:9" ht="16.5">
      <c r="A34" s="72" t="s">
        <v>64</v>
      </c>
      <c r="B34" s="73">
        <v>90</v>
      </c>
      <c r="C34" s="74">
        <v>397.6</v>
      </c>
      <c r="D34" s="75">
        <f t="shared" si="8"/>
        <v>25734.45</v>
      </c>
      <c r="E34" s="76">
        <v>0</v>
      </c>
      <c r="F34" s="76">
        <v>25734.45</v>
      </c>
      <c r="G34" s="75">
        <f t="shared" si="9"/>
        <v>3860.1675</v>
      </c>
      <c r="H34" s="77">
        <f>F34*75%-0.005</f>
        <v>19300.8325</v>
      </c>
      <c r="I34" s="75">
        <f t="shared" si="10"/>
        <v>2573.445</v>
      </c>
    </row>
    <row r="35" spans="1:9" ht="16.5">
      <c r="A35" s="72" t="s">
        <v>65</v>
      </c>
      <c r="B35" s="73" t="s">
        <v>52</v>
      </c>
      <c r="C35" s="74" t="s">
        <v>42</v>
      </c>
      <c r="D35" s="75">
        <f t="shared" si="8"/>
        <v>100000</v>
      </c>
      <c r="E35" s="76">
        <v>0</v>
      </c>
      <c r="F35" s="76">
        <v>100000</v>
      </c>
      <c r="G35" s="75">
        <f t="shared" si="9"/>
        <v>15000</v>
      </c>
      <c r="H35" s="77">
        <f>F35*75%</f>
        <v>75000</v>
      </c>
      <c r="I35" s="75">
        <f t="shared" si="10"/>
        <v>10000</v>
      </c>
    </row>
    <row r="36" spans="1:9" ht="16.5">
      <c r="A36" s="72" t="s">
        <v>66</v>
      </c>
      <c r="B36" s="73" t="s">
        <v>53</v>
      </c>
      <c r="C36" s="74" t="s">
        <v>42</v>
      </c>
      <c r="D36" s="75">
        <f t="shared" si="8"/>
        <v>17120</v>
      </c>
      <c r="E36" s="76">
        <v>0</v>
      </c>
      <c r="F36" s="76">
        <v>17120</v>
      </c>
      <c r="G36" s="75">
        <f t="shared" si="9"/>
        <v>2568</v>
      </c>
      <c r="H36" s="77">
        <f>F36*75%</f>
        <v>12840</v>
      </c>
      <c r="I36" s="75">
        <f t="shared" si="10"/>
        <v>1712</v>
      </c>
    </row>
    <row r="37" spans="1:9" ht="16.5">
      <c r="A37" s="72" t="s">
        <v>67</v>
      </c>
      <c r="B37" s="73">
        <v>110</v>
      </c>
      <c r="C37" s="74">
        <v>2854.8</v>
      </c>
      <c r="D37" s="75">
        <f t="shared" si="8"/>
        <v>100000</v>
      </c>
      <c r="E37" s="76">
        <v>0</v>
      </c>
      <c r="F37" s="76">
        <v>100000</v>
      </c>
      <c r="G37" s="75">
        <f t="shared" si="9"/>
        <v>15000</v>
      </c>
      <c r="H37" s="77">
        <f>F37*75%</f>
        <v>75000</v>
      </c>
      <c r="I37" s="75">
        <f t="shared" si="10"/>
        <v>10000</v>
      </c>
    </row>
    <row r="38" spans="1:9" ht="16.5">
      <c r="A38" s="72" t="s">
        <v>67</v>
      </c>
      <c r="B38" s="73">
        <v>90</v>
      </c>
      <c r="C38" s="74">
        <v>4758.4</v>
      </c>
      <c r="D38" s="75">
        <f t="shared" si="8"/>
        <v>30000</v>
      </c>
      <c r="E38" s="76">
        <v>0</v>
      </c>
      <c r="F38" s="76">
        <v>30000</v>
      </c>
      <c r="G38" s="75">
        <f t="shared" si="9"/>
        <v>4500</v>
      </c>
      <c r="H38" s="77">
        <f>F38*75%</f>
        <v>22500</v>
      </c>
      <c r="I38" s="75">
        <f t="shared" si="10"/>
        <v>3000</v>
      </c>
    </row>
    <row r="39" spans="1:9" ht="17.25" thickBot="1">
      <c r="A39" s="78" t="s">
        <v>68</v>
      </c>
      <c r="B39" s="79">
        <v>32</v>
      </c>
      <c r="C39" s="79" t="s">
        <v>59</v>
      </c>
      <c r="D39" s="80">
        <f t="shared" si="8"/>
        <v>0</v>
      </c>
      <c r="E39" s="81">
        <v>0</v>
      </c>
      <c r="F39" s="81">
        <v>0</v>
      </c>
      <c r="G39" s="80">
        <f t="shared" si="9"/>
        <v>0</v>
      </c>
      <c r="H39" s="82">
        <f>F39*75%</f>
        <v>0</v>
      </c>
      <c r="I39" s="80">
        <f t="shared" si="10"/>
        <v>0</v>
      </c>
    </row>
    <row r="40" spans="1:9" ht="18" thickBot="1" thickTop="1">
      <c r="A40" s="83" t="s">
        <v>9</v>
      </c>
      <c r="B40" s="84"/>
      <c r="C40" s="85"/>
      <c r="D40" s="86">
        <f aca="true" t="shared" si="11" ref="D40:I40">D29+D30+D31+D32+D33+D34+D35+D36+D37+D38+D39</f>
        <v>1099849.5899999999</v>
      </c>
      <c r="E40" s="86">
        <f t="shared" si="11"/>
        <v>30000</v>
      </c>
      <c r="F40" s="86">
        <f t="shared" si="11"/>
        <v>1069849.5899999999</v>
      </c>
      <c r="G40" s="86">
        <f t="shared" si="11"/>
        <v>190477.43850000002</v>
      </c>
      <c r="H40" s="87">
        <f t="shared" si="11"/>
        <v>802387.1875</v>
      </c>
      <c r="I40" s="86">
        <f t="shared" si="11"/>
        <v>106984.959</v>
      </c>
    </row>
    <row r="41" spans="1:9" ht="17.25" thickTop="1">
      <c r="A41" s="88" t="s">
        <v>58</v>
      </c>
      <c r="B41" s="89"/>
      <c r="C41" s="90"/>
      <c r="D41" s="70">
        <f>E41+F41</f>
        <v>25000</v>
      </c>
      <c r="E41" s="70"/>
      <c r="F41" s="70">
        <v>25000</v>
      </c>
      <c r="G41" s="70">
        <f>E41+F41*15%</f>
        <v>3750</v>
      </c>
      <c r="H41" s="91">
        <f>F41*75%</f>
        <v>18750</v>
      </c>
      <c r="I41" s="70">
        <f>F41*10%</f>
        <v>2500</v>
      </c>
    </row>
    <row r="42" spans="1:9" ht="16.5">
      <c r="A42" s="72" t="s">
        <v>54</v>
      </c>
      <c r="B42" s="92"/>
      <c r="C42" s="93"/>
      <c r="D42" s="76">
        <f>E42+F42</f>
        <v>15000</v>
      </c>
      <c r="E42" s="76"/>
      <c r="F42" s="76">
        <v>15000</v>
      </c>
      <c r="G42" s="76">
        <f>E42+F42*15%</f>
        <v>2250</v>
      </c>
      <c r="H42" s="94">
        <f>F42*75%</f>
        <v>11250</v>
      </c>
      <c r="I42" s="76">
        <f>F42*10%</f>
        <v>1500</v>
      </c>
    </row>
    <row r="43" spans="1:9" ht="16.5">
      <c r="A43" s="72" t="s">
        <v>55</v>
      </c>
      <c r="B43" s="92"/>
      <c r="C43" s="93"/>
      <c r="D43" s="76">
        <f>E43+F43</f>
        <v>0</v>
      </c>
      <c r="E43" s="76"/>
      <c r="F43" s="76">
        <v>0</v>
      </c>
      <c r="G43" s="76">
        <f>E43+F43*15%</f>
        <v>0</v>
      </c>
      <c r="H43" s="94">
        <f>F43*75%</f>
        <v>0</v>
      </c>
      <c r="I43" s="76">
        <f>F43*10%</f>
        <v>0</v>
      </c>
    </row>
    <row r="44" spans="1:9" ht="17.25" thickBot="1">
      <c r="A44" s="78" t="s">
        <v>56</v>
      </c>
      <c r="B44" s="95"/>
      <c r="C44" s="96"/>
      <c r="D44" s="81">
        <f>E44+F44</f>
        <v>30000</v>
      </c>
      <c r="E44" s="81">
        <v>30000</v>
      </c>
      <c r="F44" s="81">
        <v>0</v>
      </c>
      <c r="G44" s="81">
        <f>E44+F44*15%</f>
        <v>30000</v>
      </c>
      <c r="H44" s="97">
        <f>F44*75%</f>
        <v>0</v>
      </c>
      <c r="I44" s="81">
        <f>F44*10%</f>
        <v>0</v>
      </c>
    </row>
    <row r="45" spans="1:9" ht="18" thickBot="1" thickTop="1">
      <c r="A45" s="83" t="s">
        <v>10</v>
      </c>
      <c r="B45" s="84"/>
      <c r="C45" s="85"/>
      <c r="D45" s="86">
        <f aca="true" t="shared" si="12" ref="D45:I45">D41+D42+D44</f>
        <v>70000</v>
      </c>
      <c r="E45" s="86">
        <f t="shared" si="12"/>
        <v>30000</v>
      </c>
      <c r="F45" s="86">
        <f t="shared" si="12"/>
        <v>40000</v>
      </c>
      <c r="G45" s="86">
        <f t="shared" si="12"/>
        <v>36000</v>
      </c>
      <c r="H45" s="87">
        <f t="shared" si="12"/>
        <v>30000</v>
      </c>
      <c r="I45" s="86">
        <f t="shared" si="12"/>
        <v>4000</v>
      </c>
    </row>
    <row r="46" spans="1:9" ht="18" thickBot="1" thickTop="1">
      <c r="A46" s="11" t="s">
        <v>3</v>
      </c>
      <c r="B46" s="142"/>
      <c r="C46" s="143"/>
      <c r="D46" s="29">
        <f aca="true" t="shared" si="13" ref="D46:I46">D45+D40+D28</f>
        <v>1169849.5899999999</v>
      </c>
      <c r="E46" s="29">
        <f t="shared" si="13"/>
        <v>60000</v>
      </c>
      <c r="F46" s="29">
        <f t="shared" si="13"/>
        <v>1109849.5899999999</v>
      </c>
      <c r="G46" s="29">
        <f t="shared" si="13"/>
        <v>226477.43850000002</v>
      </c>
      <c r="H46" s="29">
        <f t="shared" si="13"/>
        <v>832387.1875</v>
      </c>
      <c r="I46" s="29">
        <f t="shared" si="13"/>
        <v>110984.959</v>
      </c>
    </row>
    <row r="47" spans="1:9" ht="18" thickBot="1" thickTop="1">
      <c r="A47" s="11" t="s">
        <v>11</v>
      </c>
      <c r="B47" s="27"/>
      <c r="C47" s="28"/>
      <c r="D47" s="31"/>
      <c r="E47" s="32"/>
      <c r="F47" s="32"/>
      <c r="G47" s="32">
        <f>100%-(H47+I47)</f>
        <v>0.15000000450511486</v>
      </c>
      <c r="H47" s="37">
        <f>H46/F46</f>
        <v>0.7499999954948852</v>
      </c>
      <c r="I47" s="32">
        <f>I46/F46</f>
        <v>0.10000000000000002</v>
      </c>
    </row>
    <row r="48" spans="1:9" ht="18" thickBot="1" thickTop="1">
      <c r="A48" s="11" t="s">
        <v>12</v>
      </c>
      <c r="B48" s="142"/>
      <c r="C48" s="143"/>
      <c r="D48" s="33">
        <v>1</v>
      </c>
      <c r="E48" s="33">
        <f>E46/D46</f>
        <v>0.051288644722267254</v>
      </c>
      <c r="F48" s="33">
        <f>F46/D46</f>
        <v>0.9487113552777328</v>
      </c>
      <c r="G48" s="33">
        <f>G46/D46</f>
        <v>0.1935953480139272</v>
      </c>
      <c r="H48" s="33">
        <f>H46/D46</f>
        <v>0.7115335121842459</v>
      </c>
      <c r="I48" s="33">
        <f>I46/D46</f>
        <v>0.09487113552777329</v>
      </c>
    </row>
    <row r="49" ht="17.25" thickTop="1"/>
    <row r="50" spans="1:9" ht="17.25" thickBot="1">
      <c r="A50" s="144" t="s">
        <v>23</v>
      </c>
      <c r="B50" s="144"/>
      <c r="C50" s="144"/>
      <c r="D50" s="144"/>
      <c r="E50" s="144"/>
      <c r="F50" s="144"/>
      <c r="G50" s="144"/>
      <c r="H50" s="144"/>
      <c r="I50" s="144"/>
    </row>
    <row r="51" spans="1:9" ht="31.5" thickBot="1" thickTop="1">
      <c r="A51" s="51" t="s">
        <v>1</v>
      </c>
      <c r="B51" s="52" t="s">
        <v>48</v>
      </c>
      <c r="C51" s="53" t="s">
        <v>2</v>
      </c>
      <c r="D51" s="54" t="s">
        <v>3</v>
      </c>
      <c r="E51" s="54" t="s">
        <v>49</v>
      </c>
      <c r="F51" s="54" t="s">
        <v>50</v>
      </c>
      <c r="G51" s="54" t="s">
        <v>6</v>
      </c>
      <c r="H51" s="55" t="s">
        <v>51</v>
      </c>
      <c r="I51" s="54" t="s">
        <v>57</v>
      </c>
    </row>
    <row r="52" spans="1:9" ht="18" thickBot="1" thickTop="1">
      <c r="A52" s="56" t="s">
        <v>13</v>
      </c>
      <c r="B52" s="57"/>
      <c r="C52" s="58"/>
      <c r="D52" s="59">
        <f>E52+F52</f>
        <v>0</v>
      </c>
      <c r="E52" s="59">
        <v>0</v>
      </c>
      <c r="F52" s="59">
        <v>0</v>
      </c>
      <c r="G52" s="59">
        <f>E52+F52*15%</f>
        <v>0</v>
      </c>
      <c r="H52" s="60">
        <f>F52*75%</f>
        <v>0</v>
      </c>
      <c r="I52" s="59">
        <f>F52*10%</f>
        <v>0</v>
      </c>
    </row>
    <row r="53" spans="1:9" ht="18" thickBot="1" thickTop="1">
      <c r="A53" s="61" t="s">
        <v>8</v>
      </c>
      <c r="B53" s="62"/>
      <c r="C53" s="63"/>
      <c r="D53" s="64">
        <f aca="true" t="shared" si="14" ref="D53:I53">D52</f>
        <v>0</v>
      </c>
      <c r="E53" s="64">
        <f t="shared" si="14"/>
        <v>0</v>
      </c>
      <c r="F53" s="64">
        <f t="shared" si="14"/>
        <v>0</v>
      </c>
      <c r="G53" s="64">
        <f t="shared" si="14"/>
        <v>0</v>
      </c>
      <c r="H53" s="65">
        <f t="shared" si="14"/>
        <v>0</v>
      </c>
      <c r="I53" s="64">
        <f t="shared" si="14"/>
        <v>0</v>
      </c>
    </row>
    <row r="54" spans="1:9" ht="18" thickBot="1" thickTop="1">
      <c r="A54" s="66" t="s">
        <v>60</v>
      </c>
      <c r="B54" s="67">
        <v>200</v>
      </c>
      <c r="C54" s="68">
        <f>C29</f>
        <v>7695.4</v>
      </c>
      <c r="D54" s="69">
        <f aca="true" t="shared" si="15" ref="D54:D64">E54+F54</f>
        <v>976360.2</v>
      </c>
      <c r="E54" s="70">
        <f>E4-E29</f>
        <v>0</v>
      </c>
      <c r="F54" s="70">
        <f>F4-F29</f>
        <v>976360.2</v>
      </c>
      <c r="G54" s="69">
        <f aca="true" t="shared" si="16" ref="G54:G64">E54+F54*15%</f>
        <v>146454.03</v>
      </c>
      <c r="H54" s="71">
        <f>F54*75%</f>
        <v>732270.1499999999</v>
      </c>
      <c r="I54" s="69">
        <f aca="true" t="shared" si="17" ref="I54:I64">F54*10%</f>
        <v>97636.02</v>
      </c>
    </row>
    <row r="55" spans="1:9" ht="18" thickBot="1" thickTop="1">
      <c r="A55" s="72" t="s">
        <v>61</v>
      </c>
      <c r="B55" s="73">
        <v>160</v>
      </c>
      <c r="C55" s="74">
        <v>3520.7</v>
      </c>
      <c r="D55" s="75">
        <f t="shared" si="15"/>
        <v>533729.87</v>
      </c>
      <c r="E55" s="70">
        <f aca="true" t="shared" si="18" ref="E55:F64">E5-E30</f>
        <v>0</v>
      </c>
      <c r="F55" s="70">
        <f t="shared" si="18"/>
        <v>533729.87</v>
      </c>
      <c r="G55" s="75">
        <f t="shared" si="16"/>
        <v>80059.48049999999</v>
      </c>
      <c r="H55" s="77">
        <f>F55*75%</f>
        <v>400297.40249999997</v>
      </c>
      <c r="I55" s="75">
        <f t="shared" si="17"/>
        <v>53372.987</v>
      </c>
    </row>
    <row r="56" spans="1:9" ht="18" thickBot="1" thickTop="1">
      <c r="A56" s="72" t="s">
        <v>62</v>
      </c>
      <c r="B56" s="73">
        <v>160</v>
      </c>
      <c r="C56" s="74">
        <v>922.3</v>
      </c>
      <c r="D56" s="75">
        <f t="shared" si="15"/>
        <v>59739.509999999995</v>
      </c>
      <c r="E56" s="70">
        <f t="shared" si="18"/>
        <v>59739.509999999995</v>
      </c>
      <c r="F56" s="70">
        <f t="shared" si="18"/>
        <v>0</v>
      </c>
      <c r="G56" s="75">
        <f t="shared" si="16"/>
        <v>59739.509999999995</v>
      </c>
      <c r="H56" s="77">
        <f>F56*75%</f>
        <v>0</v>
      </c>
      <c r="I56" s="75">
        <f t="shared" si="17"/>
        <v>0</v>
      </c>
    </row>
    <row r="57" spans="1:9" ht="18" thickBot="1" thickTop="1">
      <c r="A57" s="72" t="s">
        <v>63</v>
      </c>
      <c r="B57" s="73" t="s">
        <v>13</v>
      </c>
      <c r="C57" s="74">
        <v>4</v>
      </c>
      <c r="D57" s="75">
        <f t="shared" si="15"/>
        <v>97752.51999999999</v>
      </c>
      <c r="E57" s="70">
        <f t="shared" si="18"/>
        <v>0</v>
      </c>
      <c r="F57" s="70">
        <f t="shared" si="18"/>
        <v>97752.51999999999</v>
      </c>
      <c r="G57" s="75">
        <f t="shared" si="16"/>
        <v>14662.877999999999</v>
      </c>
      <c r="H57" s="77">
        <f>F57*75%</f>
        <v>73314.38999999998</v>
      </c>
      <c r="I57" s="75">
        <f t="shared" si="17"/>
        <v>9775.251999999999</v>
      </c>
    </row>
    <row r="58" spans="1:9" ht="18" thickBot="1" thickTop="1">
      <c r="A58" s="72" t="s">
        <v>64</v>
      </c>
      <c r="B58" s="73">
        <v>160</v>
      </c>
      <c r="C58" s="74">
        <v>1302.3</v>
      </c>
      <c r="D58" s="75">
        <f t="shared" si="15"/>
        <v>0</v>
      </c>
      <c r="E58" s="70">
        <f t="shared" si="18"/>
        <v>0</v>
      </c>
      <c r="F58" s="70">
        <f t="shared" si="18"/>
        <v>0</v>
      </c>
      <c r="G58" s="75">
        <f t="shared" si="16"/>
        <v>0</v>
      </c>
      <c r="H58" s="77">
        <f>F58*75%</f>
        <v>0</v>
      </c>
      <c r="I58" s="75">
        <f t="shared" si="17"/>
        <v>0</v>
      </c>
    </row>
    <row r="59" spans="1:9" ht="18" thickBot="1" thickTop="1">
      <c r="A59" s="72" t="s">
        <v>64</v>
      </c>
      <c r="B59" s="73">
        <v>90</v>
      </c>
      <c r="C59" s="74">
        <v>397.6</v>
      </c>
      <c r="D59" s="75">
        <f t="shared" si="15"/>
        <v>0</v>
      </c>
      <c r="E59" s="70">
        <f t="shared" si="18"/>
        <v>0</v>
      </c>
      <c r="F59" s="70">
        <f t="shared" si="18"/>
        <v>0</v>
      </c>
      <c r="G59" s="75">
        <f t="shared" si="16"/>
        <v>0</v>
      </c>
      <c r="H59" s="77">
        <f>F59*75%-0.005</f>
        <v>-0.005</v>
      </c>
      <c r="I59" s="75">
        <f t="shared" si="17"/>
        <v>0</v>
      </c>
    </row>
    <row r="60" spans="1:9" ht="18" thickBot="1" thickTop="1">
      <c r="A60" s="72" t="s">
        <v>65</v>
      </c>
      <c r="B60" s="73" t="s">
        <v>52</v>
      </c>
      <c r="C60" s="74" t="s">
        <v>42</v>
      </c>
      <c r="D60" s="75">
        <f t="shared" si="15"/>
        <v>19259.979999999996</v>
      </c>
      <c r="E60" s="70">
        <f t="shared" si="18"/>
        <v>0</v>
      </c>
      <c r="F60" s="70">
        <f t="shared" si="18"/>
        <v>19259.979999999996</v>
      </c>
      <c r="G60" s="75">
        <f t="shared" si="16"/>
        <v>2888.9969999999994</v>
      </c>
      <c r="H60" s="77">
        <f>F60*75%</f>
        <v>14444.984999999997</v>
      </c>
      <c r="I60" s="75">
        <f t="shared" si="17"/>
        <v>1925.9979999999996</v>
      </c>
    </row>
    <row r="61" spans="1:9" ht="18" thickBot="1" thickTop="1">
      <c r="A61" s="72" t="s">
        <v>66</v>
      </c>
      <c r="B61" s="73" t="s">
        <v>53</v>
      </c>
      <c r="C61" s="74" t="s">
        <v>42</v>
      </c>
      <c r="D61" s="75">
        <f t="shared" si="15"/>
        <v>17120</v>
      </c>
      <c r="E61" s="70">
        <f t="shared" si="18"/>
        <v>0</v>
      </c>
      <c r="F61" s="70">
        <f t="shared" si="18"/>
        <v>17120</v>
      </c>
      <c r="G61" s="75">
        <f t="shared" si="16"/>
        <v>2568</v>
      </c>
      <c r="H61" s="77">
        <f>F61*75%</f>
        <v>12840</v>
      </c>
      <c r="I61" s="75">
        <f t="shared" si="17"/>
        <v>1712</v>
      </c>
    </row>
    <row r="62" spans="1:9" ht="18" thickBot="1" thickTop="1">
      <c r="A62" s="72" t="s">
        <v>67</v>
      </c>
      <c r="B62" s="73">
        <v>110</v>
      </c>
      <c r="C62" s="74">
        <v>2854.8</v>
      </c>
      <c r="D62" s="75">
        <f t="shared" si="15"/>
        <v>147490.52</v>
      </c>
      <c r="E62" s="70">
        <f t="shared" si="18"/>
        <v>0</v>
      </c>
      <c r="F62" s="70">
        <f t="shared" si="18"/>
        <v>147490.52</v>
      </c>
      <c r="G62" s="75">
        <f t="shared" si="16"/>
        <v>22123.577999999998</v>
      </c>
      <c r="H62" s="77">
        <f>F62*75%</f>
        <v>110617.88999999998</v>
      </c>
      <c r="I62" s="75">
        <f t="shared" si="17"/>
        <v>14749.052</v>
      </c>
    </row>
    <row r="63" spans="1:9" ht="18" thickBot="1" thickTop="1">
      <c r="A63" s="72" t="s">
        <v>67</v>
      </c>
      <c r="B63" s="73">
        <v>90</v>
      </c>
      <c r="C63" s="74">
        <v>4758.4</v>
      </c>
      <c r="D63" s="75">
        <f t="shared" si="15"/>
        <v>199595.9</v>
      </c>
      <c r="E63" s="70">
        <f t="shared" si="18"/>
        <v>0</v>
      </c>
      <c r="F63" s="70">
        <f t="shared" si="18"/>
        <v>199595.9</v>
      </c>
      <c r="G63" s="75">
        <f t="shared" si="16"/>
        <v>29939.385</v>
      </c>
      <c r="H63" s="77">
        <f>F63*75%</f>
        <v>149696.925</v>
      </c>
      <c r="I63" s="75">
        <f t="shared" si="17"/>
        <v>19959.59</v>
      </c>
    </row>
    <row r="64" spans="1:9" ht="18" thickBot="1" thickTop="1">
      <c r="A64" s="78" t="s">
        <v>68</v>
      </c>
      <c r="B64" s="79">
        <v>32</v>
      </c>
      <c r="C64" s="79" t="s">
        <v>59</v>
      </c>
      <c r="D64" s="80">
        <f t="shared" si="15"/>
        <v>125561.43</v>
      </c>
      <c r="E64" s="70">
        <f t="shared" si="18"/>
        <v>125561.43</v>
      </c>
      <c r="F64" s="70">
        <f t="shared" si="18"/>
        <v>0</v>
      </c>
      <c r="G64" s="80">
        <f t="shared" si="16"/>
        <v>125561.43</v>
      </c>
      <c r="H64" s="82">
        <f>F64*75%</f>
        <v>0</v>
      </c>
      <c r="I64" s="80">
        <f t="shared" si="17"/>
        <v>0</v>
      </c>
    </row>
    <row r="65" spans="1:9" ht="18" thickBot="1" thickTop="1">
      <c r="A65" s="83" t="s">
        <v>9</v>
      </c>
      <c r="B65" s="84"/>
      <c r="C65" s="85"/>
      <c r="D65" s="86">
        <f aca="true" t="shared" si="19" ref="D65:I65">D54+D55+D56+D57+D58+D59+D60+D61+D62+D63+D64</f>
        <v>2176609.9299999997</v>
      </c>
      <c r="E65" s="86">
        <f t="shared" si="19"/>
        <v>185300.94</v>
      </c>
      <c r="F65" s="86">
        <f t="shared" si="19"/>
        <v>1991308.9899999998</v>
      </c>
      <c r="G65" s="86">
        <f t="shared" si="19"/>
        <v>483997.28849999997</v>
      </c>
      <c r="H65" s="87">
        <f t="shared" si="19"/>
        <v>1493481.7374999998</v>
      </c>
      <c r="I65" s="86">
        <f t="shared" si="19"/>
        <v>199130.899</v>
      </c>
    </row>
    <row r="66" spans="1:9" ht="18" thickBot="1" thickTop="1">
      <c r="A66" s="88" t="s">
        <v>58</v>
      </c>
      <c r="B66" s="89"/>
      <c r="C66" s="90"/>
      <c r="D66" s="70">
        <f>E66+F66</f>
        <v>0</v>
      </c>
      <c r="E66" s="70"/>
      <c r="F66" s="70">
        <f>F16-F41</f>
        <v>0</v>
      </c>
      <c r="G66" s="70">
        <f>E66+F66*15%</f>
        <v>0</v>
      </c>
      <c r="H66" s="91">
        <f>F66*75%</f>
        <v>0</v>
      </c>
      <c r="I66" s="70">
        <f>F66*10%</f>
        <v>0</v>
      </c>
    </row>
    <row r="67" spans="1:9" ht="18" thickBot="1" thickTop="1">
      <c r="A67" s="72" t="s">
        <v>54</v>
      </c>
      <c r="B67" s="92"/>
      <c r="C67" s="93"/>
      <c r="D67" s="76">
        <f>E67+F67</f>
        <v>15000</v>
      </c>
      <c r="E67" s="76"/>
      <c r="F67" s="70">
        <f>F17-F42</f>
        <v>15000</v>
      </c>
      <c r="G67" s="76">
        <f>E67+F67*15%</f>
        <v>2250</v>
      </c>
      <c r="H67" s="94">
        <f>F67*75%</f>
        <v>11250</v>
      </c>
      <c r="I67" s="76">
        <f>F67*10%</f>
        <v>1500</v>
      </c>
    </row>
    <row r="68" spans="1:9" ht="18" thickBot="1" thickTop="1">
      <c r="A68" s="72" t="s">
        <v>55</v>
      </c>
      <c r="B68" s="92"/>
      <c r="C68" s="93"/>
      <c r="D68" s="76">
        <f>E68+F68</f>
        <v>0</v>
      </c>
      <c r="E68" s="76"/>
      <c r="F68" s="70">
        <f>F18-F43</f>
        <v>0</v>
      </c>
      <c r="G68" s="76">
        <f>E68+F68*15%</f>
        <v>0</v>
      </c>
      <c r="H68" s="94">
        <f>F68*75%</f>
        <v>0</v>
      </c>
      <c r="I68" s="76">
        <f>F68*10%</f>
        <v>0</v>
      </c>
    </row>
    <row r="69" spans="1:9" ht="18" thickBot="1" thickTop="1">
      <c r="A69" s="78" t="s">
        <v>56</v>
      </c>
      <c r="B69" s="95"/>
      <c r="C69" s="96"/>
      <c r="D69" s="81">
        <f>E69+F69</f>
        <v>30000</v>
      </c>
      <c r="E69" s="81">
        <v>30000</v>
      </c>
      <c r="F69" s="70">
        <f>F19-F44</f>
        <v>0</v>
      </c>
      <c r="G69" s="81">
        <f>E69+F69*15%</f>
        <v>30000</v>
      </c>
      <c r="H69" s="97">
        <f>F69*75%</f>
        <v>0</v>
      </c>
      <c r="I69" s="81">
        <f>F69*10%</f>
        <v>0</v>
      </c>
    </row>
    <row r="70" spans="1:9" ht="18" thickBot="1" thickTop="1">
      <c r="A70" s="83" t="s">
        <v>10</v>
      </c>
      <c r="B70" s="84"/>
      <c r="C70" s="85"/>
      <c r="D70" s="86">
        <f aca="true" t="shared" si="20" ref="D70:I70">D66+D67+D69</f>
        <v>45000</v>
      </c>
      <c r="E70" s="86">
        <f t="shared" si="20"/>
        <v>30000</v>
      </c>
      <c r="F70" s="86">
        <f t="shared" si="20"/>
        <v>15000</v>
      </c>
      <c r="G70" s="86">
        <f t="shared" si="20"/>
        <v>32250</v>
      </c>
      <c r="H70" s="87">
        <f t="shared" si="20"/>
        <v>11250</v>
      </c>
      <c r="I70" s="86">
        <f t="shared" si="20"/>
        <v>1500</v>
      </c>
    </row>
    <row r="71" spans="1:9" ht="18" thickBot="1" thickTop="1">
      <c r="A71" s="11" t="s">
        <v>3</v>
      </c>
      <c r="B71" s="142"/>
      <c r="C71" s="143"/>
      <c r="D71" s="29">
        <f aca="true" t="shared" si="21" ref="D71:I71">D70+D65+D53</f>
        <v>2221609.9299999997</v>
      </c>
      <c r="E71" s="29">
        <f t="shared" si="21"/>
        <v>215300.94</v>
      </c>
      <c r="F71" s="29">
        <f t="shared" si="21"/>
        <v>2006308.9899999998</v>
      </c>
      <c r="G71" s="29">
        <f t="shared" si="21"/>
        <v>516247.28849999997</v>
      </c>
      <c r="H71" s="29">
        <f>H70+H65+H53</f>
        <v>1504731.7374999998</v>
      </c>
      <c r="I71" s="29">
        <f t="shared" si="21"/>
        <v>200630.899</v>
      </c>
    </row>
    <row r="72" spans="1:9" ht="18" thickBot="1" thickTop="1">
      <c r="A72" s="11" t="s">
        <v>11</v>
      </c>
      <c r="B72" s="27"/>
      <c r="C72" s="28"/>
      <c r="D72" s="31"/>
      <c r="E72" s="32"/>
      <c r="F72" s="32"/>
      <c r="G72" s="32">
        <f>100%-(H72+I72)</f>
        <v>0.15000000249213863</v>
      </c>
      <c r="H72" s="37">
        <f>H71/F71</f>
        <v>0.7499999975078614</v>
      </c>
      <c r="I72" s="32">
        <f>I71/F71</f>
        <v>0.10000000000000002</v>
      </c>
    </row>
    <row r="73" spans="1:9" ht="18" thickBot="1" thickTop="1">
      <c r="A73" s="11" t="s">
        <v>12</v>
      </c>
      <c r="B73" s="142"/>
      <c r="C73" s="143"/>
      <c r="D73" s="33">
        <v>1</v>
      </c>
      <c r="E73" s="33">
        <f>E71/D71</f>
        <v>0.09691212534326403</v>
      </c>
      <c r="F73" s="33">
        <f>F71/D71</f>
        <v>0.903087874656736</v>
      </c>
      <c r="G73" s="33">
        <f>G71/D71</f>
        <v>0.23237530654177443</v>
      </c>
      <c r="H73" s="33">
        <f>H71/D71</f>
        <v>0.6773159037419318</v>
      </c>
      <c r="I73" s="33">
        <f>I71/D71</f>
        <v>0.09030878746567361</v>
      </c>
    </row>
    <row r="74" ht="17.25" thickTop="1"/>
  </sheetData>
  <mergeCells count="9">
    <mergeCell ref="E24:F24"/>
    <mergeCell ref="G24:I24"/>
    <mergeCell ref="B21:C21"/>
    <mergeCell ref="B23:C23"/>
    <mergeCell ref="B46:C46"/>
    <mergeCell ref="B48:C48"/>
    <mergeCell ref="B71:C71"/>
    <mergeCell ref="B73:C73"/>
    <mergeCell ref="A50:I50"/>
  </mergeCells>
  <printOptions/>
  <pageMargins left="0.59" right="0.6" top="0.66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SheetLayoutView="100" workbookViewId="0" topLeftCell="C1">
      <selection activeCell="G12" sqref="G12:G15"/>
    </sheetView>
  </sheetViews>
  <sheetFormatPr defaultColWidth="9.00390625" defaultRowHeight="12.75"/>
  <cols>
    <col min="1" max="10" width="15.75390625" style="0" customWidth="1"/>
    <col min="12" max="12" width="13.625" style="0" bestFit="1" customWidth="1"/>
    <col min="13" max="13" width="15.00390625" style="0" bestFit="1" customWidth="1"/>
  </cols>
  <sheetData>
    <row r="1" spans="1:10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3.5" customHeight="1">
      <c r="A2" s="104"/>
      <c r="B2" s="104"/>
      <c r="C2" s="104"/>
      <c r="D2" s="104"/>
      <c r="E2" s="104"/>
      <c r="F2" s="104"/>
      <c r="G2" s="164"/>
      <c r="H2" s="164"/>
      <c r="I2" s="165" t="s">
        <v>131</v>
      </c>
      <c r="J2" s="165"/>
    </row>
    <row r="3" spans="1:10" ht="19.5" customHeight="1">
      <c r="A3" s="104"/>
      <c r="B3" s="104"/>
      <c r="C3" s="104"/>
      <c r="D3" s="104"/>
      <c r="F3" s="43"/>
      <c r="G3" s="135"/>
      <c r="H3" s="166" t="s">
        <v>136</v>
      </c>
      <c r="I3" s="166"/>
      <c r="J3" s="166"/>
    </row>
    <row r="4" spans="1:10" ht="19.5" customHeight="1">
      <c r="A4" s="104"/>
      <c r="B4" s="104"/>
      <c r="C4" s="104"/>
      <c r="D4" s="104"/>
      <c r="E4" s="104"/>
      <c r="F4" s="104"/>
      <c r="I4" s="164" t="s">
        <v>135</v>
      </c>
      <c r="J4" s="164"/>
    </row>
    <row r="5" spans="1:10" ht="19.5" customHeight="1">
      <c r="A5" s="104"/>
      <c r="B5" s="104"/>
      <c r="C5" s="104"/>
      <c r="D5" s="104"/>
      <c r="E5" s="104"/>
      <c r="F5" s="104"/>
      <c r="G5" s="104" t="s">
        <v>13</v>
      </c>
      <c r="H5" s="105"/>
      <c r="I5" s="105"/>
      <c r="J5" s="104"/>
    </row>
    <row r="6" spans="1:10" ht="19.5" customHeight="1">
      <c r="A6" s="163" t="s">
        <v>71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9.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</row>
    <row r="8" spans="1:10" ht="19.5" customHeight="1">
      <c r="A8" s="104"/>
      <c r="B8" s="153" t="s">
        <v>76</v>
      </c>
      <c r="C8" s="153"/>
      <c r="D8" s="153"/>
      <c r="E8" s="153"/>
      <c r="F8" s="153"/>
      <c r="G8" s="153" t="s">
        <v>80</v>
      </c>
      <c r="H8" s="153"/>
      <c r="I8" s="153"/>
      <c r="J8" s="104"/>
    </row>
    <row r="9" spans="1:10" ht="19.5" customHeight="1">
      <c r="A9" s="104"/>
      <c r="B9" s="162"/>
      <c r="C9" s="162"/>
      <c r="D9" s="104"/>
      <c r="E9" s="104"/>
      <c r="H9" s="169"/>
      <c r="I9" s="169"/>
      <c r="J9" s="169"/>
    </row>
    <row r="10" spans="1:10" ht="22.5">
      <c r="A10" s="134" t="s">
        <v>14</v>
      </c>
      <c r="B10" s="158" t="s">
        <v>15</v>
      </c>
      <c r="C10" s="158" t="s">
        <v>16</v>
      </c>
      <c r="D10" s="158" t="s">
        <v>17</v>
      </c>
      <c r="E10" s="107" t="s">
        <v>18</v>
      </c>
      <c r="F10" s="157" t="s">
        <v>79</v>
      </c>
      <c r="G10" s="157" t="s">
        <v>107</v>
      </c>
      <c r="H10" s="158" t="s">
        <v>19</v>
      </c>
      <c r="I10" s="158"/>
      <c r="J10" s="158"/>
    </row>
    <row r="11" spans="1:10" ht="78.75">
      <c r="A11" s="134" t="s">
        <v>20</v>
      </c>
      <c r="B11" s="158"/>
      <c r="C11" s="158"/>
      <c r="D11" s="158"/>
      <c r="E11" s="107" t="s">
        <v>21</v>
      </c>
      <c r="F11" s="157"/>
      <c r="G11" s="157"/>
      <c r="H11" s="108" t="s">
        <v>125</v>
      </c>
      <c r="I11" s="109" t="s">
        <v>108</v>
      </c>
      <c r="J11" s="109" t="s">
        <v>109</v>
      </c>
    </row>
    <row r="12" spans="1:10" ht="19.5" customHeight="1">
      <c r="A12" s="150" t="s">
        <v>82</v>
      </c>
      <c r="B12" s="152" t="s">
        <v>74</v>
      </c>
      <c r="C12" s="154" t="s">
        <v>75</v>
      </c>
      <c r="D12" s="148" t="s">
        <v>74</v>
      </c>
      <c r="E12" s="149" t="s">
        <v>72</v>
      </c>
      <c r="F12" s="147">
        <f>H12+H13+H14+H15+I12+I13+I14+I15+J12+J13+J14+J15+G12</f>
        <v>3082910.4573687497</v>
      </c>
      <c r="G12" s="159">
        <v>0</v>
      </c>
      <c r="H12" s="111">
        <f>F31</f>
        <v>52184.54526874999</v>
      </c>
      <c r="I12" s="126">
        <v>0</v>
      </c>
      <c r="J12" s="111">
        <v>0</v>
      </c>
    </row>
    <row r="13" spans="1:10" ht="19.5" customHeight="1">
      <c r="A13" s="150"/>
      <c r="B13" s="152"/>
      <c r="C13" s="155"/>
      <c r="D13" s="148"/>
      <c r="E13" s="149"/>
      <c r="F13" s="147"/>
      <c r="G13" s="160"/>
      <c r="H13" s="111">
        <v>700600</v>
      </c>
      <c r="I13" s="126">
        <v>0</v>
      </c>
      <c r="J13" s="111">
        <v>0</v>
      </c>
    </row>
    <row r="14" spans="1:13" ht="19.5" customHeight="1">
      <c r="A14" s="150" t="s">
        <v>81</v>
      </c>
      <c r="B14" s="152"/>
      <c r="C14" s="155"/>
      <c r="D14" s="148"/>
      <c r="E14" s="149" t="s">
        <v>73</v>
      </c>
      <c r="F14" s="147"/>
      <c r="G14" s="160"/>
      <c r="H14" s="111">
        <v>2032464.04</v>
      </c>
      <c r="I14" s="126">
        <v>0</v>
      </c>
      <c r="J14" s="111">
        <v>0</v>
      </c>
      <c r="K14" s="111"/>
      <c r="M14" s="121">
        <f>G35</f>
        <v>2232464.0407499997</v>
      </c>
    </row>
    <row r="15" spans="1:10" ht="19.5" customHeight="1">
      <c r="A15" s="150"/>
      <c r="B15" s="152"/>
      <c r="C15" s="156"/>
      <c r="D15" s="148"/>
      <c r="E15" s="149"/>
      <c r="F15" s="147"/>
      <c r="G15" s="161"/>
      <c r="H15" s="111">
        <f>H35</f>
        <v>297661.8720999999</v>
      </c>
      <c r="I15" s="126">
        <v>0</v>
      </c>
      <c r="J15" s="111">
        <v>0</v>
      </c>
    </row>
    <row r="16" spans="1:11" ht="19.5" customHeight="1">
      <c r="A16" s="136">
        <v>600</v>
      </c>
      <c r="B16" s="137" t="s">
        <v>36</v>
      </c>
      <c r="C16" s="154" t="s">
        <v>78</v>
      </c>
      <c r="D16" s="154" t="s">
        <v>36</v>
      </c>
      <c r="E16" s="140" t="s">
        <v>72</v>
      </c>
      <c r="F16" s="147">
        <f>H16+H17+H18+H19+I16+I17+I18+I19+J16+J17+J18+J19+G16</f>
        <v>51324</v>
      </c>
      <c r="G16" s="159">
        <v>14000</v>
      </c>
      <c r="H16" s="111">
        <v>22324</v>
      </c>
      <c r="I16" s="126">
        <v>15000</v>
      </c>
      <c r="J16" s="111">
        <v>0</v>
      </c>
      <c r="K16" s="111"/>
    </row>
    <row r="17" spans="1:13" ht="19.5" customHeight="1">
      <c r="A17" s="136"/>
      <c r="B17" s="138"/>
      <c r="C17" s="155"/>
      <c r="D17" s="155"/>
      <c r="E17" s="168"/>
      <c r="F17" s="147"/>
      <c r="G17" s="160"/>
      <c r="H17" s="111">
        <v>0</v>
      </c>
      <c r="I17" s="126">
        <v>0</v>
      </c>
      <c r="J17" s="111">
        <v>0</v>
      </c>
      <c r="M17" s="121"/>
    </row>
    <row r="18" spans="1:10" ht="19.5" customHeight="1">
      <c r="A18" s="167">
        <v>60016</v>
      </c>
      <c r="B18" s="138"/>
      <c r="C18" s="155"/>
      <c r="D18" s="155"/>
      <c r="E18" s="140" t="s">
        <v>73</v>
      </c>
      <c r="F18" s="147"/>
      <c r="G18" s="160"/>
      <c r="H18" s="111">
        <v>0</v>
      </c>
      <c r="I18" s="126">
        <v>0</v>
      </c>
      <c r="J18" s="111">
        <v>0</v>
      </c>
    </row>
    <row r="19" spans="1:10" ht="19.5" customHeight="1">
      <c r="A19" s="167"/>
      <c r="B19" s="139"/>
      <c r="C19" s="156"/>
      <c r="D19" s="156"/>
      <c r="E19" s="168"/>
      <c r="F19" s="147"/>
      <c r="G19" s="161"/>
      <c r="H19" s="111">
        <v>0</v>
      </c>
      <c r="I19" s="126">
        <v>0</v>
      </c>
      <c r="J19" s="111">
        <v>0</v>
      </c>
    </row>
    <row r="20" spans="1:10" ht="19.5" customHeight="1">
      <c r="A20" s="150" t="s">
        <v>82</v>
      </c>
      <c r="B20" s="152" t="s">
        <v>70</v>
      </c>
      <c r="C20" s="148" t="s">
        <v>77</v>
      </c>
      <c r="D20" s="148" t="s">
        <v>70</v>
      </c>
      <c r="E20" s="149" t="s">
        <v>72</v>
      </c>
      <c r="F20" s="147">
        <f>H20+H21+H22+H23+I20+I21+I22+I23+J20+J21+J22+J23+G20</f>
        <v>206649.85</v>
      </c>
      <c r="G20" s="159">
        <f>Boisko!E10</f>
        <v>13140</v>
      </c>
      <c r="H20" s="111">
        <v>0</v>
      </c>
      <c r="I20" s="126">
        <v>38702.85</v>
      </c>
      <c r="J20" s="111">
        <v>0</v>
      </c>
    </row>
    <row r="21" spans="1:10" ht="19.5" customHeight="1">
      <c r="A21" s="150"/>
      <c r="B21" s="152"/>
      <c r="C21" s="148"/>
      <c r="D21" s="148"/>
      <c r="E21" s="149"/>
      <c r="F21" s="147"/>
      <c r="G21" s="160"/>
      <c r="H21" s="111">
        <v>0</v>
      </c>
      <c r="I21" s="111">
        <v>0</v>
      </c>
      <c r="J21" s="111">
        <v>0</v>
      </c>
    </row>
    <row r="22" spans="1:10" ht="19.5" customHeight="1">
      <c r="A22" s="150" t="s">
        <v>124</v>
      </c>
      <c r="B22" s="152"/>
      <c r="C22" s="148"/>
      <c r="D22" s="148"/>
      <c r="E22" s="149" t="s">
        <v>123</v>
      </c>
      <c r="F22" s="147"/>
      <c r="G22" s="160"/>
      <c r="H22" s="111">
        <v>0</v>
      </c>
      <c r="I22" s="126">
        <v>154807</v>
      </c>
      <c r="J22" s="111">
        <v>0</v>
      </c>
    </row>
    <row r="23" spans="1:10" ht="19.5" customHeight="1">
      <c r="A23" s="150"/>
      <c r="B23" s="152"/>
      <c r="C23" s="148"/>
      <c r="D23" s="148"/>
      <c r="E23" s="149"/>
      <c r="F23" s="147"/>
      <c r="G23" s="161"/>
      <c r="H23" s="111">
        <v>0</v>
      </c>
      <c r="I23" s="111">
        <v>0</v>
      </c>
      <c r="J23" s="111">
        <v>0</v>
      </c>
    </row>
    <row r="24" spans="1:10" ht="19.5" customHeight="1">
      <c r="A24" s="151" t="s">
        <v>129</v>
      </c>
      <c r="B24" s="152" t="s">
        <v>126</v>
      </c>
      <c r="C24" s="148" t="s">
        <v>127</v>
      </c>
      <c r="D24" s="148" t="s">
        <v>126</v>
      </c>
      <c r="E24" s="149" t="s">
        <v>128</v>
      </c>
      <c r="F24" s="147">
        <f>H24+H25+H26+H27+I24+I25+I26+I27+J24+J25+J26+J27+G24</f>
        <v>72000</v>
      </c>
      <c r="G24" s="147">
        <v>0</v>
      </c>
      <c r="H24" s="111">
        <v>38000</v>
      </c>
      <c r="I24" s="111">
        <v>0</v>
      </c>
      <c r="J24" s="111">
        <v>0</v>
      </c>
    </row>
    <row r="25" spans="1:10" ht="19.5" customHeight="1">
      <c r="A25" s="151"/>
      <c r="B25" s="152"/>
      <c r="C25" s="148"/>
      <c r="D25" s="148"/>
      <c r="E25" s="149"/>
      <c r="F25" s="147"/>
      <c r="G25" s="147"/>
      <c r="H25" s="111">
        <v>0</v>
      </c>
      <c r="I25" s="111">
        <v>0</v>
      </c>
      <c r="J25" s="111">
        <v>0</v>
      </c>
    </row>
    <row r="26" spans="1:10" ht="19.5" customHeight="1">
      <c r="A26" s="150" t="s">
        <v>130</v>
      </c>
      <c r="B26" s="152"/>
      <c r="C26" s="148"/>
      <c r="D26" s="148"/>
      <c r="E26" s="149" t="s">
        <v>128</v>
      </c>
      <c r="F26" s="147"/>
      <c r="G26" s="147"/>
      <c r="H26" s="111">
        <v>0</v>
      </c>
      <c r="I26" s="111">
        <v>0</v>
      </c>
      <c r="J26" s="111">
        <v>0</v>
      </c>
    </row>
    <row r="27" spans="1:10" ht="19.5" customHeight="1">
      <c r="A27" s="150"/>
      <c r="B27" s="152"/>
      <c r="C27" s="148"/>
      <c r="D27" s="148"/>
      <c r="E27" s="149"/>
      <c r="F27" s="147"/>
      <c r="G27" s="147"/>
      <c r="H27" s="111">
        <v>34000</v>
      </c>
      <c r="I27" s="111">
        <v>0</v>
      </c>
      <c r="J27" s="111">
        <v>0</v>
      </c>
    </row>
    <row r="28" spans="1:10" ht="12.75">
      <c r="A28" s="104"/>
      <c r="B28" s="104"/>
      <c r="C28" s="104"/>
      <c r="D28" s="133" t="s">
        <v>13</v>
      </c>
      <c r="E28" s="104"/>
      <c r="F28" s="104"/>
      <c r="G28" s="104"/>
      <c r="H28" s="104"/>
      <c r="I28" s="104"/>
      <c r="J28" s="104"/>
    </row>
    <row r="29" spans="4:12" ht="18.75" customHeight="1">
      <c r="D29" s="121">
        <f>J43+J58</f>
        <v>2993855.75255</v>
      </c>
      <c r="F29" t="s">
        <v>113</v>
      </c>
      <c r="G29" t="s">
        <v>114</v>
      </c>
      <c r="H29" t="s">
        <v>115</v>
      </c>
      <c r="K29" t="s">
        <v>106</v>
      </c>
      <c r="L29" t="s">
        <v>122</v>
      </c>
    </row>
    <row r="30" spans="4:12" ht="12.75">
      <c r="D30" s="120">
        <f>J46+J47+J48+J49+J51+J52+J53+J55+J56+J57+J50</f>
        <v>2672970.4663749994</v>
      </c>
      <c r="E30" t="s">
        <v>116</v>
      </c>
      <c r="F30" s="121">
        <f>D30*15%+J54</f>
        <v>456136.2944312499</v>
      </c>
      <c r="G30" s="121">
        <f>D30*75%</f>
        <v>2004727.8497812496</v>
      </c>
      <c r="H30" s="121">
        <f>D30*10%</f>
        <v>267297.04663749994</v>
      </c>
      <c r="I30" s="121">
        <f>F30+H30+G30</f>
        <v>2728161.1908499994</v>
      </c>
      <c r="L30" s="121">
        <f>F30+F32+F33+F34</f>
        <v>524005.2944312499</v>
      </c>
    </row>
    <row r="31" spans="4:12" ht="12.75">
      <c r="D31" s="120">
        <f>J39+J42+J40</f>
        <v>251188.254625</v>
      </c>
      <c r="E31" t="s">
        <v>117</v>
      </c>
      <c r="F31" s="121">
        <f>D31*15%+J41</f>
        <v>52184.54526874999</v>
      </c>
      <c r="G31" s="121">
        <f>D31*75%</f>
        <v>188391.19096875</v>
      </c>
      <c r="H31" s="121">
        <f>D31*10%</f>
        <v>25118.8254625</v>
      </c>
      <c r="I31" s="121">
        <f>F31+H31+G31</f>
        <v>265694.56169999996</v>
      </c>
      <c r="J31" s="121" t="s">
        <v>13</v>
      </c>
      <c r="L31" s="120">
        <v>500600</v>
      </c>
    </row>
    <row r="32" spans="4:12" ht="12.75">
      <c r="D32" s="120">
        <v>24400</v>
      </c>
      <c r="E32" t="s">
        <v>110</v>
      </c>
      <c r="F32" s="121">
        <f>D32*15%</f>
        <v>3660</v>
      </c>
      <c r="G32" s="121">
        <f>D32*75%</f>
        <v>18300</v>
      </c>
      <c r="H32" s="121">
        <f>D32*10%</f>
        <v>2440</v>
      </c>
      <c r="I32" s="121">
        <f>F32+H32+G32</f>
        <v>24400</v>
      </c>
      <c r="L32" s="120">
        <f>L30-L31</f>
        <v>23405.294431249902</v>
      </c>
    </row>
    <row r="33" spans="4:9" ht="12.75">
      <c r="D33" s="120">
        <v>28060</v>
      </c>
      <c r="E33" t="s">
        <v>111</v>
      </c>
      <c r="F33" s="121">
        <f>D33*15%</f>
        <v>4209</v>
      </c>
      <c r="G33" s="121">
        <f>D33*75%</f>
        <v>21045</v>
      </c>
      <c r="H33" s="121">
        <f>D33*10%</f>
        <v>2806</v>
      </c>
      <c r="I33" s="121">
        <f>F33+H33+G33</f>
        <v>28060</v>
      </c>
    </row>
    <row r="34" spans="4:9" ht="12.75">
      <c r="D34" s="120">
        <v>260000</v>
      </c>
      <c r="E34" t="s">
        <v>112</v>
      </c>
      <c r="F34" s="120">
        <v>60000</v>
      </c>
      <c r="G34" s="120">
        <v>0</v>
      </c>
      <c r="H34" s="122">
        <v>0</v>
      </c>
      <c r="I34" s="120">
        <v>0</v>
      </c>
    </row>
    <row r="35" spans="4:9" ht="12.75">
      <c r="D35" s="121">
        <f>SUM(D30:D34)</f>
        <v>3236618.7209999994</v>
      </c>
      <c r="F35" s="121">
        <f>SUM(F30:F34)</f>
        <v>576189.8396999999</v>
      </c>
      <c r="G35" s="121">
        <f>SUM(G30:G34)</f>
        <v>2232464.0407499997</v>
      </c>
      <c r="H35" s="121">
        <f>SUM(H30:H34)</f>
        <v>297661.8720999999</v>
      </c>
      <c r="I35" s="121">
        <f>SUM(I30:I34)</f>
        <v>3046315.7525499994</v>
      </c>
    </row>
    <row r="36" ht="12.75">
      <c r="I36" s="124">
        <v>3106315.75</v>
      </c>
    </row>
    <row r="39" spans="4:10" ht="12.75">
      <c r="D39" t="s">
        <v>118</v>
      </c>
      <c r="E39" s="120">
        <v>83247.14</v>
      </c>
      <c r="F39" s="129">
        <f>E39*95%</f>
        <v>79084.783</v>
      </c>
      <c r="G39" s="131">
        <f>E39*5%</f>
        <v>4162.357</v>
      </c>
      <c r="H39" s="130">
        <f>F39*7%</f>
        <v>5535.934810000001</v>
      </c>
      <c r="I39" s="132">
        <f>G39*22%</f>
        <v>915.71854</v>
      </c>
      <c r="J39" s="121">
        <f>H39+I39+G39+F39</f>
        <v>89698.79334999999</v>
      </c>
    </row>
    <row r="40" spans="5:10" ht="12.75">
      <c r="E40" s="120">
        <v>126121.35</v>
      </c>
      <c r="F40" s="120">
        <f>E40*95%</f>
        <v>119815.2825</v>
      </c>
      <c r="G40" s="120">
        <f>E40*5%</f>
        <v>6306.067500000001</v>
      </c>
      <c r="H40" s="121">
        <f>F40*7%</f>
        <v>8387.069775000002</v>
      </c>
      <c r="I40" s="121">
        <f>G40*22%</f>
        <v>1387.3348500000002</v>
      </c>
      <c r="J40" s="121">
        <f>H40+I40+G40+F40</f>
        <v>135895.754625</v>
      </c>
    </row>
    <row r="41" spans="4:10" ht="12.75">
      <c r="D41" s="123"/>
      <c r="E41" s="124">
        <v>13462.93</v>
      </c>
      <c r="F41" s="124">
        <f>E41*95%</f>
        <v>12789.7835</v>
      </c>
      <c r="G41" s="124">
        <f>E41*5%</f>
        <v>673.1465000000001</v>
      </c>
      <c r="H41" s="125">
        <f>F41*7%</f>
        <v>895.284845</v>
      </c>
      <c r="I41" s="125">
        <f>G41*22%</f>
        <v>148.09223</v>
      </c>
      <c r="J41" s="125">
        <f>H41+I41+G41+F41</f>
        <v>14506.307075</v>
      </c>
    </row>
    <row r="42" spans="5:10" ht="12.75">
      <c r="E42" s="120">
        <v>23752.86</v>
      </c>
      <c r="F42" s="120">
        <f>E42*95%</f>
        <v>22565.217</v>
      </c>
      <c r="G42" s="120">
        <f>E42*5%</f>
        <v>1187.643</v>
      </c>
      <c r="H42" s="121">
        <f>F42*7%</f>
        <v>1579.5651900000003</v>
      </c>
      <c r="I42" s="121">
        <f>G42*22%</f>
        <v>261.28146</v>
      </c>
      <c r="J42" s="121">
        <f>H42+I42+G42+F42</f>
        <v>25593.70665</v>
      </c>
    </row>
    <row r="43" spans="5:10" ht="12.75">
      <c r="E43" s="127">
        <f aca="true" t="shared" si="0" ref="E43:J43">SUM(E39:E42)</f>
        <v>246584.27999999997</v>
      </c>
      <c r="F43" s="127">
        <f t="shared" si="0"/>
        <v>234255.066</v>
      </c>
      <c r="G43" s="127">
        <f t="shared" si="0"/>
        <v>12329.214000000002</v>
      </c>
      <c r="H43" s="127">
        <f t="shared" si="0"/>
        <v>16397.854620000002</v>
      </c>
      <c r="I43" s="127">
        <f t="shared" si="0"/>
        <v>2712.4270800000004</v>
      </c>
      <c r="J43" s="127">
        <f t="shared" si="0"/>
        <v>265694.56169999996</v>
      </c>
    </row>
    <row r="44" ht="12.75">
      <c r="D44" t="s">
        <v>119</v>
      </c>
    </row>
    <row r="45" ht="12.75">
      <c r="D45" t="s">
        <v>120</v>
      </c>
    </row>
    <row r="46" spans="4:10" ht="12.75">
      <c r="D46" t="s">
        <v>121</v>
      </c>
      <c r="E46" s="120">
        <v>82067.61</v>
      </c>
      <c r="F46" s="120">
        <f aca="true" t="shared" si="1" ref="F46:F57">E46*95%</f>
        <v>77964.2295</v>
      </c>
      <c r="G46" s="120">
        <f aca="true" t="shared" si="2" ref="G46:G57">E46*5%</f>
        <v>4103.3805</v>
      </c>
      <c r="H46" s="121">
        <f aca="true" t="shared" si="3" ref="H46:H57">F46*7%</f>
        <v>5457.496065</v>
      </c>
      <c r="I46" s="121">
        <f aca="true" t="shared" si="4" ref="I46:I57">G46*22%</f>
        <v>902.7437100000001</v>
      </c>
      <c r="J46" s="121">
        <f aca="true" t="shared" si="5" ref="J46:J57">H46+I46+G46+F46</f>
        <v>88427.84977500001</v>
      </c>
    </row>
    <row r="47" spans="5:10" ht="12.75">
      <c r="E47" s="120">
        <v>68660.91</v>
      </c>
      <c r="F47" s="120">
        <f t="shared" si="1"/>
        <v>65227.8645</v>
      </c>
      <c r="G47" s="120">
        <f t="shared" si="2"/>
        <v>3433.0455</v>
      </c>
      <c r="H47" s="121">
        <f t="shared" si="3"/>
        <v>4565.950515</v>
      </c>
      <c r="I47" s="121">
        <f t="shared" si="4"/>
        <v>755.2700100000001</v>
      </c>
      <c r="J47" s="121">
        <f t="shared" si="5"/>
        <v>73982.130525</v>
      </c>
    </row>
    <row r="48" spans="5:10" ht="12.75">
      <c r="E48" s="120">
        <v>954.94</v>
      </c>
      <c r="F48" s="120">
        <f t="shared" si="1"/>
        <v>907.193</v>
      </c>
      <c r="G48" s="120">
        <f t="shared" si="2"/>
        <v>47.74700000000001</v>
      </c>
      <c r="H48" s="121">
        <f t="shared" si="3"/>
        <v>63.503510000000006</v>
      </c>
      <c r="I48" s="121">
        <f t="shared" si="4"/>
        <v>10.504340000000001</v>
      </c>
      <c r="J48" s="121">
        <f t="shared" si="5"/>
        <v>1028.94785</v>
      </c>
    </row>
    <row r="49" spans="5:10" ht="12.75">
      <c r="E49" s="120">
        <v>40346.66</v>
      </c>
      <c r="F49" s="120">
        <f t="shared" si="1"/>
        <v>38329.327000000005</v>
      </c>
      <c r="G49" s="120">
        <f t="shared" si="2"/>
        <v>2017.3330000000003</v>
      </c>
      <c r="H49" s="121">
        <f t="shared" si="3"/>
        <v>2683.0528900000004</v>
      </c>
      <c r="I49" s="121">
        <f t="shared" si="4"/>
        <v>443.81326000000007</v>
      </c>
      <c r="J49" s="121">
        <f t="shared" si="5"/>
        <v>43473.526150000005</v>
      </c>
    </row>
    <row r="50" spans="5:10" ht="12.75">
      <c r="E50" s="120">
        <v>8111.88</v>
      </c>
      <c r="F50" s="120">
        <f t="shared" si="1"/>
        <v>7706.286</v>
      </c>
      <c r="G50" s="120">
        <f t="shared" si="2"/>
        <v>405.59400000000005</v>
      </c>
      <c r="H50" s="121">
        <f t="shared" si="3"/>
        <v>539.44002</v>
      </c>
      <c r="I50" s="121">
        <f t="shared" si="4"/>
        <v>89.23068</v>
      </c>
      <c r="J50" s="121">
        <f t="shared" si="5"/>
        <v>8740.5507</v>
      </c>
    </row>
    <row r="51" spans="5:10" ht="12.75">
      <c r="E51" s="120">
        <v>39805.91</v>
      </c>
      <c r="F51" s="120">
        <f t="shared" si="1"/>
        <v>37815.6145</v>
      </c>
      <c r="G51" s="120">
        <f t="shared" si="2"/>
        <v>1990.2955000000002</v>
      </c>
      <c r="H51" s="121">
        <f t="shared" si="3"/>
        <v>2647.0930150000004</v>
      </c>
      <c r="I51" s="121">
        <f t="shared" si="4"/>
        <v>437.86501000000004</v>
      </c>
      <c r="J51" s="121">
        <f t="shared" si="5"/>
        <v>42890.868025</v>
      </c>
    </row>
    <row r="52" spans="5:10" ht="12.75">
      <c r="E52" s="120">
        <v>20211.13</v>
      </c>
      <c r="F52" s="120">
        <f t="shared" si="1"/>
        <v>19200.5735</v>
      </c>
      <c r="G52" s="120">
        <f t="shared" si="2"/>
        <v>1010.5565000000001</v>
      </c>
      <c r="H52" s="121">
        <f t="shared" si="3"/>
        <v>1344.040145</v>
      </c>
      <c r="I52" s="121">
        <f t="shared" si="4"/>
        <v>222.32243000000003</v>
      </c>
      <c r="J52" s="121">
        <f t="shared" si="5"/>
        <v>21777.492574999997</v>
      </c>
    </row>
    <row r="53" spans="5:10" ht="12.75">
      <c r="E53" s="120">
        <v>33235.8</v>
      </c>
      <c r="F53" s="120">
        <f t="shared" si="1"/>
        <v>31574.010000000002</v>
      </c>
      <c r="G53" s="120">
        <f t="shared" si="2"/>
        <v>1661.7900000000002</v>
      </c>
      <c r="H53" s="121">
        <f t="shared" si="3"/>
        <v>2210.1807000000003</v>
      </c>
      <c r="I53" s="121">
        <f t="shared" si="4"/>
        <v>365.59380000000004</v>
      </c>
      <c r="J53" s="121">
        <f t="shared" si="5"/>
        <v>35811.5745</v>
      </c>
    </row>
    <row r="54" spans="4:10" ht="12.75">
      <c r="D54" s="123"/>
      <c r="E54" s="124">
        <v>51221.09</v>
      </c>
      <c r="F54" s="124">
        <f t="shared" si="1"/>
        <v>48660.03549999999</v>
      </c>
      <c r="G54" s="124">
        <f t="shared" si="2"/>
        <v>2561.0545</v>
      </c>
      <c r="H54" s="125">
        <f t="shared" si="3"/>
        <v>3406.202485</v>
      </c>
      <c r="I54" s="125">
        <f t="shared" si="4"/>
        <v>563.43199</v>
      </c>
      <c r="J54" s="125">
        <f t="shared" si="5"/>
        <v>55190.72447499999</v>
      </c>
    </row>
    <row r="55" spans="5:10" ht="12.75">
      <c r="E55" s="120">
        <v>1807386.15</v>
      </c>
      <c r="F55" s="120">
        <f t="shared" si="1"/>
        <v>1717016.8424999998</v>
      </c>
      <c r="G55" s="120">
        <f t="shared" si="2"/>
        <v>90369.3075</v>
      </c>
      <c r="H55" s="121">
        <f t="shared" si="3"/>
        <v>120191.178975</v>
      </c>
      <c r="I55" s="121">
        <f t="shared" si="4"/>
        <v>19881.247649999998</v>
      </c>
      <c r="J55" s="121">
        <f t="shared" si="5"/>
        <v>1947458.5766249998</v>
      </c>
    </row>
    <row r="56" spans="5:10" ht="12.75">
      <c r="E56" s="120">
        <v>18787.2</v>
      </c>
      <c r="F56" s="120">
        <f t="shared" si="1"/>
        <v>17847.84</v>
      </c>
      <c r="G56" s="120">
        <f t="shared" si="2"/>
        <v>939.3600000000001</v>
      </c>
      <c r="H56" s="121">
        <f t="shared" si="3"/>
        <v>1249.3488000000002</v>
      </c>
      <c r="I56" s="121">
        <f t="shared" si="4"/>
        <v>206.65920000000003</v>
      </c>
      <c r="J56" s="121">
        <f t="shared" si="5"/>
        <v>20243.208</v>
      </c>
    </row>
    <row r="57" spans="5:10" ht="16.5" customHeight="1">
      <c r="E57" s="120">
        <v>361146.86</v>
      </c>
      <c r="F57" s="120">
        <f t="shared" si="1"/>
        <v>343089.517</v>
      </c>
      <c r="G57" s="120">
        <f t="shared" si="2"/>
        <v>18057.343</v>
      </c>
      <c r="H57" s="121">
        <f t="shared" si="3"/>
        <v>24016.266190000002</v>
      </c>
      <c r="I57" s="121">
        <f t="shared" si="4"/>
        <v>3972.61546</v>
      </c>
      <c r="J57" s="121">
        <f t="shared" si="5"/>
        <v>389135.74165</v>
      </c>
    </row>
    <row r="58" spans="5:10" ht="12.75">
      <c r="E58" s="128">
        <f aca="true" t="shared" si="6" ref="E58:J58">SUM(E46:E57)</f>
        <v>2531936.14</v>
      </c>
      <c r="F58" s="127">
        <f t="shared" si="6"/>
        <v>2405339.3329999996</v>
      </c>
      <c r="G58" s="127">
        <f t="shared" si="6"/>
        <v>126596.807</v>
      </c>
      <c r="H58" s="127">
        <f t="shared" si="6"/>
        <v>168373.75331</v>
      </c>
      <c r="I58" s="127">
        <f t="shared" si="6"/>
        <v>27851.297539999996</v>
      </c>
      <c r="J58" s="127">
        <f t="shared" si="6"/>
        <v>2728161.19085</v>
      </c>
    </row>
  </sheetData>
  <mergeCells count="51">
    <mergeCell ref="A22:A23"/>
    <mergeCell ref="E22:E23"/>
    <mergeCell ref="A20:A21"/>
    <mergeCell ref="B20:B23"/>
    <mergeCell ref="D20:D23"/>
    <mergeCell ref="C20:C23"/>
    <mergeCell ref="E20:E21"/>
    <mergeCell ref="F16:F19"/>
    <mergeCell ref="H9:J9"/>
    <mergeCell ref="F20:F23"/>
    <mergeCell ref="G20:G23"/>
    <mergeCell ref="G16:G19"/>
    <mergeCell ref="A18:A19"/>
    <mergeCell ref="A16:A17"/>
    <mergeCell ref="B16:B19"/>
    <mergeCell ref="E16:E17"/>
    <mergeCell ref="E18:E19"/>
    <mergeCell ref="D16:D19"/>
    <mergeCell ref="A6:J6"/>
    <mergeCell ref="G2:H2"/>
    <mergeCell ref="I4:J4"/>
    <mergeCell ref="I2:J2"/>
    <mergeCell ref="H3:J3"/>
    <mergeCell ref="B9:C9"/>
    <mergeCell ref="B10:B11"/>
    <mergeCell ref="C10:C11"/>
    <mergeCell ref="D10:D11"/>
    <mergeCell ref="A12:A13"/>
    <mergeCell ref="B12:B15"/>
    <mergeCell ref="C12:C15"/>
    <mergeCell ref="D12:D15"/>
    <mergeCell ref="A14:A15"/>
    <mergeCell ref="B8:F8"/>
    <mergeCell ref="C16:C19"/>
    <mergeCell ref="G8:I8"/>
    <mergeCell ref="F10:F11"/>
    <mergeCell ref="G10:G11"/>
    <mergeCell ref="H10:J10"/>
    <mergeCell ref="E12:E13"/>
    <mergeCell ref="F12:F15"/>
    <mergeCell ref="G12:G15"/>
    <mergeCell ref="E14:E15"/>
    <mergeCell ref="A26:A27"/>
    <mergeCell ref="A24:A25"/>
    <mergeCell ref="B24:B27"/>
    <mergeCell ref="C24:C27"/>
    <mergeCell ref="G24:G27"/>
    <mergeCell ref="D24:D27"/>
    <mergeCell ref="E24:E25"/>
    <mergeCell ref="E26:E27"/>
    <mergeCell ref="F24:F27"/>
  </mergeCells>
  <printOptions/>
  <pageMargins left="0.7874015748031497" right="0.7874015748031497" top="0.51" bottom="0.984251968503937" header="0.5118110236220472" footer="0.5118110236220472"/>
  <pageSetup horizontalDpi="300" verticalDpi="300" orientation="landscape" paperSize="9" scale="80" r:id="rId1"/>
  <rowBreaks count="1" manualBreakCount="1">
    <brk id="28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8">
      <selection activeCell="E15" sqref="E15"/>
    </sheetView>
  </sheetViews>
  <sheetFormatPr defaultColWidth="9.00390625" defaultRowHeight="12.75"/>
  <cols>
    <col min="1" max="1" width="3.25390625" style="0" customWidth="1"/>
    <col min="2" max="2" width="21.625" style="0" customWidth="1"/>
    <col min="3" max="3" width="14.125" style="0" customWidth="1"/>
    <col min="4" max="4" width="16.125" style="0" customWidth="1"/>
    <col min="5" max="5" width="16.375" style="0" customWidth="1"/>
    <col min="6" max="6" width="16.125" style="0" customWidth="1"/>
    <col min="7" max="7" width="14.375" style="0" customWidth="1"/>
    <col min="8" max="8" width="14.75390625" style="0" customWidth="1"/>
    <col min="9" max="9" width="14.625" style="0" customWidth="1"/>
  </cols>
  <sheetData>
    <row r="1" ht="15.75" customHeight="1"/>
    <row r="2" spans="8:9" ht="15.75" customHeight="1">
      <c r="H2" s="165" t="s">
        <v>132</v>
      </c>
      <c r="I2" s="165"/>
    </row>
    <row r="3" spans="7:9" ht="15.75" customHeight="1">
      <c r="G3" s="176" t="s">
        <v>133</v>
      </c>
      <c r="H3" s="176"/>
      <c r="I3" s="176"/>
    </row>
    <row r="4" spans="8:9" ht="15.75" customHeight="1">
      <c r="H4" s="175" t="s">
        <v>134</v>
      </c>
      <c r="I4" s="175"/>
    </row>
    <row r="5" spans="5:6" ht="15.75" customHeight="1">
      <c r="E5" s="43"/>
      <c r="F5" s="43"/>
    </row>
    <row r="6" spans="1:9" ht="19.5" customHeight="1">
      <c r="A6" s="177" t="s">
        <v>83</v>
      </c>
      <c r="B6" s="177"/>
      <c r="C6" s="177"/>
      <c r="D6" s="177"/>
      <c r="E6" s="177"/>
      <c r="F6" s="177"/>
      <c r="G6" s="177"/>
      <c r="H6" s="177"/>
      <c r="I6" s="177"/>
    </row>
    <row r="7" spans="1:9" ht="19.5" customHeight="1">
      <c r="A7" s="177"/>
      <c r="B7" s="177"/>
      <c r="C7" s="177"/>
      <c r="D7" s="177"/>
      <c r="E7" s="177"/>
      <c r="F7" s="177"/>
      <c r="G7" s="177"/>
      <c r="H7" s="177"/>
      <c r="I7" s="177"/>
    </row>
    <row r="8" spans="7:9" ht="15.75" customHeight="1">
      <c r="G8" s="174" t="s">
        <v>87</v>
      </c>
      <c r="H8" s="174"/>
      <c r="I8" s="174"/>
    </row>
    <row r="9" spans="1:9" ht="19.5" customHeight="1">
      <c r="A9" s="171" t="s">
        <v>24</v>
      </c>
      <c r="B9" s="170" t="s">
        <v>25</v>
      </c>
      <c r="C9" s="170" t="s">
        <v>26</v>
      </c>
      <c r="D9" s="170" t="s">
        <v>85</v>
      </c>
      <c r="E9" s="170" t="s">
        <v>27</v>
      </c>
      <c r="F9" s="170"/>
      <c r="G9" s="170" t="s">
        <v>28</v>
      </c>
      <c r="H9" s="170"/>
      <c r="I9" s="170"/>
    </row>
    <row r="10" spans="1:9" ht="19.5" customHeight="1">
      <c r="A10" s="171"/>
      <c r="B10" s="170"/>
      <c r="C10" s="170"/>
      <c r="D10" s="170"/>
      <c r="E10" s="170"/>
      <c r="F10" s="170"/>
      <c r="G10" s="170"/>
      <c r="H10" s="170"/>
      <c r="I10" s="170"/>
    </row>
    <row r="11" spans="1:9" ht="19.5" customHeight="1">
      <c r="A11" s="171"/>
      <c r="B11" s="170"/>
      <c r="C11" s="170"/>
      <c r="D11" s="170"/>
      <c r="E11" s="170" t="s">
        <v>29</v>
      </c>
      <c r="F11" s="170" t="s">
        <v>30</v>
      </c>
      <c r="G11" s="170" t="s">
        <v>31</v>
      </c>
      <c r="H11" s="170" t="s">
        <v>84</v>
      </c>
      <c r="I11" s="171" t="s">
        <v>32</v>
      </c>
    </row>
    <row r="12" spans="1:9" ht="19.5" customHeight="1">
      <c r="A12" s="171"/>
      <c r="B12" s="170"/>
      <c r="C12" s="170"/>
      <c r="D12" s="170"/>
      <c r="E12" s="170"/>
      <c r="F12" s="170"/>
      <c r="G12" s="170"/>
      <c r="H12" s="170"/>
      <c r="I12" s="171"/>
    </row>
    <row r="13" spans="1:9" ht="19.5" customHeight="1">
      <c r="A13" s="171"/>
      <c r="B13" s="170"/>
      <c r="C13" s="170"/>
      <c r="D13" s="170"/>
      <c r="E13" s="170"/>
      <c r="F13" s="170"/>
      <c r="G13" s="170"/>
      <c r="H13" s="170"/>
      <c r="I13" s="171"/>
    </row>
    <row r="14" spans="1:9" ht="89.25" customHeight="1">
      <c r="A14" s="103">
        <v>1</v>
      </c>
      <c r="B14" s="44" t="str">
        <f>WPI!B12</f>
        <v>Budowa wodociągu i kanalizacji sanitarnej w Osieku</v>
      </c>
      <c r="C14" s="44" t="s">
        <v>33</v>
      </c>
      <c r="D14" s="110">
        <f>E14+F14</f>
        <v>3082910.45736875</v>
      </c>
      <c r="E14" s="110">
        <f>WPI!I14+WPI!H14</f>
        <v>2032464.04</v>
      </c>
      <c r="F14" s="110">
        <f>G14+H14+I14</f>
        <v>1050446.4173687499</v>
      </c>
      <c r="G14" s="110">
        <f>WPI!I12+WPI!H12</f>
        <v>52184.54526874999</v>
      </c>
      <c r="H14" s="110">
        <f>WPI!I15+WPI!H15</f>
        <v>297661.8720999999</v>
      </c>
      <c r="I14" s="110">
        <f>WPI!I13+WPI!H13</f>
        <v>700600</v>
      </c>
    </row>
    <row r="15" spans="1:9" ht="63.75">
      <c r="A15" s="103">
        <v>2</v>
      </c>
      <c r="B15" s="44" t="str">
        <f>WPI!B16</f>
        <v>Remont mostku nad rzeką Brzezianek w miejscowości Kasparus</v>
      </c>
      <c r="C15" s="44" t="s">
        <v>33</v>
      </c>
      <c r="D15" s="110">
        <f>E15+F15</f>
        <v>51324</v>
      </c>
      <c r="E15" s="110">
        <f>WPI!H18+WPI!I18</f>
        <v>0</v>
      </c>
      <c r="F15" s="110">
        <f>G15+H15+I15</f>
        <v>51324</v>
      </c>
      <c r="G15" s="110">
        <f>WPI!H16+WPI!I16+WPI!G16</f>
        <v>51324</v>
      </c>
      <c r="H15" s="110">
        <f>WPI!H19+WPI!I19</f>
        <v>0</v>
      </c>
      <c r="I15" s="110">
        <v>0</v>
      </c>
    </row>
    <row r="16" spans="1:9" ht="12.75" customHeight="1">
      <c r="A16" s="171">
        <v>3</v>
      </c>
      <c r="B16" s="170" t="str">
        <f>WPI!B20</f>
        <v>Budowa boiska gminnego w Osieku</v>
      </c>
      <c r="C16" s="170" t="s">
        <v>86</v>
      </c>
      <c r="D16" s="172">
        <f>E16+F16</f>
        <v>13140</v>
      </c>
      <c r="E16" s="172">
        <f>WPI!H22</f>
        <v>0</v>
      </c>
      <c r="F16" s="172">
        <f>G16+H16+I16</f>
        <v>13140</v>
      </c>
      <c r="G16" s="172">
        <f>WPI!H20+WPI!G20</f>
        <v>13140</v>
      </c>
      <c r="H16" s="172">
        <v>0</v>
      </c>
      <c r="I16" s="172">
        <v>0</v>
      </c>
    </row>
    <row r="17" spans="1:9" ht="12.75">
      <c r="A17" s="171"/>
      <c r="B17" s="170"/>
      <c r="C17" s="170"/>
      <c r="D17" s="172"/>
      <c r="E17" s="172"/>
      <c r="F17" s="172"/>
      <c r="G17" s="172"/>
      <c r="H17" s="172"/>
      <c r="I17" s="172"/>
    </row>
    <row r="18" spans="1:9" ht="12.75">
      <c r="A18" s="171"/>
      <c r="B18" s="170"/>
      <c r="C18" s="170"/>
      <c r="D18" s="172"/>
      <c r="E18" s="172"/>
      <c r="F18" s="172"/>
      <c r="G18" s="172"/>
      <c r="H18" s="172"/>
      <c r="I18" s="172"/>
    </row>
    <row r="19" spans="1:9" ht="12.75">
      <c r="A19" s="171"/>
      <c r="B19" s="170"/>
      <c r="C19" s="170"/>
      <c r="D19" s="173">
        <f aca="true" t="shared" si="0" ref="D19:I19">SUM(D14:D16)</f>
        <v>3147374.45736875</v>
      </c>
      <c r="E19" s="173">
        <f t="shared" si="0"/>
        <v>2032464.04</v>
      </c>
      <c r="F19" s="173">
        <f t="shared" si="0"/>
        <v>1114910.4173687499</v>
      </c>
      <c r="G19" s="173">
        <f t="shared" si="0"/>
        <v>116648.54526875</v>
      </c>
      <c r="H19" s="173">
        <f t="shared" si="0"/>
        <v>297661.8720999999</v>
      </c>
      <c r="I19" s="173">
        <f t="shared" si="0"/>
        <v>700600</v>
      </c>
    </row>
    <row r="20" spans="1:9" ht="12.75">
      <c r="A20" s="171"/>
      <c r="B20" s="170"/>
      <c r="C20" s="170"/>
      <c r="D20" s="173"/>
      <c r="E20" s="173"/>
      <c r="F20" s="173"/>
      <c r="G20" s="173"/>
      <c r="H20" s="173"/>
      <c r="I20" s="173"/>
    </row>
  </sheetData>
  <mergeCells count="34">
    <mergeCell ref="I19:I20"/>
    <mergeCell ref="G8:I8"/>
    <mergeCell ref="H2:I2"/>
    <mergeCell ref="H4:I4"/>
    <mergeCell ref="G3:I3"/>
    <mergeCell ref="I16:I18"/>
    <mergeCell ref="G11:G13"/>
    <mergeCell ref="H11:H13"/>
    <mergeCell ref="I11:I13"/>
    <mergeCell ref="A6:I7"/>
    <mergeCell ref="E19:E20"/>
    <mergeCell ref="F19:F20"/>
    <mergeCell ref="G19:G20"/>
    <mergeCell ref="H19:H20"/>
    <mergeCell ref="A19:A20"/>
    <mergeCell ref="B19:B20"/>
    <mergeCell ref="C19:C20"/>
    <mergeCell ref="D19:D20"/>
    <mergeCell ref="A16:A18"/>
    <mergeCell ref="B16:B18"/>
    <mergeCell ref="C16:C18"/>
    <mergeCell ref="D16:D18"/>
    <mergeCell ref="E16:E18"/>
    <mergeCell ref="F16:F18"/>
    <mergeCell ref="G16:G18"/>
    <mergeCell ref="H16:H18"/>
    <mergeCell ref="E9:F10"/>
    <mergeCell ref="G9:I10"/>
    <mergeCell ref="A9:A13"/>
    <mergeCell ref="B9:B13"/>
    <mergeCell ref="C9:C13"/>
    <mergeCell ref="D9:D13"/>
    <mergeCell ref="E11:E13"/>
    <mergeCell ref="F11:F13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Snake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Andrzej K</cp:lastModifiedBy>
  <cp:lastPrinted>2007-01-03T08:56:02Z</cp:lastPrinted>
  <dcterms:created xsi:type="dcterms:W3CDTF">2004-07-20T16:43:35Z</dcterms:created>
  <dcterms:modified xsi:type="dcterms:W3CDTF">2007-01-03T08:56:08Z</dcterms:modified>
  <cp:category/>
  <cp:version/>
  <cp:contentType/>
  <cp:contentStatus/>
</cp:coreProperties>
</file>